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stetson-my.sharepoint.com/personal/jcorbin1_stetson_edu/Documents/Documents/Stats and Reports/"/>
    </mc:Choice>
  </mc:AlternateContent>
  <xr:revisionPtr revIDLastSave="2166" documentId="8_{147C4B66-E0B5-48BC-BE6C-1EE54850AFFA}" xr6:coauthVersionLast="47" xr6:coauthVersionMax="47" xr10:uidLastSave="{CBD73D19-3197-472D-821C-DBE74BA57EED}"/>
  <bookViews>
    <workbookView xWindow="28905" yWindow="180" windowWidth="19395" windowHeight="11265" tabRatio="721" activeTab="1" xr2:uid="{00000000-000D-0000-FFFF-FFFF00000000}"/>
  </bookViews>
  <sheets>
    <sheet name="Reference Statistics" sheetId="1" r:id="rId1"/>
    <sheet name="Library Instruction Statistics" sheetId="6" r:id="rId2"/>
    <sheet name="Website Visits" sheetId="2" r:id="rId3"/>
    <sheet name="Library Visits" sheetId="3" r:id="rId4"/>
    <sheet name="Circulation Statistics" sheetId="12" r:id="rId5"/>
    <sheet name="Interlibrary Loan Statistics" sheetId="8" r:id="rId6"/>
    <sheet name="Government Documents Statistics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8" l="1"/>
  <c r="N39" i="8"/>
  <c r="N40" i="8"/>
  <c r="N41" i="8"/>
  <c r="N42" i="8"/>
  <c r="N43" i="8"/>
  <c r="H85" i="8"/>
  <c r="G85" i="8"/>
  <c r="B92" i="8" l="1"/>
  <c r="D92" i="8" s="1"/>
  <c r="I85" i="8"/>
  <c r="I82" i="8"/>
  <c r="H83" i="8"/>
  <c r="I83" i="8" s="1"/>
  <c r="I79" i="8"/>
  <c r="I78" i="8"/>
  <c r="I77" i="8"/>
  <c r="F79" i="8"/>
  <c r="C79" i="8"/>
  <c r="D79" i="8"/>
  <c r="B79" i="8"/>
  <c r="D90" i="8"/>
  <c r="N15" i="8" l="1"/>
  <c r="P15" i="8" s="1"/>
  <c r="N14" i="8"/>
  <c r="P14" i="8" s="1"/>
  <c r="C10" i="8"/>
  <c r="D10" i="8"/>
  <c r="E10" i="8"/>
  <c r="F10" i="8"/>
  <c r="G10" i="8"/>
  <c r="H10" i="8"/>
  <c r="I10" i="8"/>
  <c r="J10" i="8"/>
  <c r="K10" i="8"/>
  <c r="L10" i="8"/>
  <c r="M10" i="8"/>
  <c r="B10" i="8"/>
  <c r="N6" i="8"/>
  <c r="P6" i="8" s="1"/>
  <c r="N7" i="8"/>
  <c r="P7" i="8" s="1"/>
  <c r="N8" i="8"/>
  <c r="N9" i="8"/>
  <c r="P9" i="8" s="1"/>
  <c r="N5" i="8"/>
  <c r="P5" i="8" s="1"/>
  <c r="O13" i="12"/>
  <c r="O12" i="12"/>
  <c r="O11" i="12"/>
  <c r="O10" i="12"/>
  <c r="O9" i="12"/>
  <c r="O8" i="12"/>
  <c r="O7" i="12"/>
  <c r="O6" i="12"/>
  <c r="O5" i="12"/>
  <c r="O4" i="12"/>
  <c r="N14" i="12"/>
  <c r="L14" i="12"/>
  <c r="J14" i="12"/>
  <c r="I14" i="12"/>
  <c r="H14" i="12"/>
  <c r="G14" i="12"/>
  <c r="F14" i="12"/>
  <c r="C14" i="12"/>
  <c r="D14" i="12"/>
  <c r="M14" i="12"/>
  <c r="G104" i="12"/>
  <c r="F106" i="12"/>
  <c r="E106" i="12"/>
  <c r="C106" i="12"/>
  <c r="F102" i="12"/>
  <c r="F103" i="12"/>
  <c r="F104" i="12"/>
  <c r="F101" i="12"/>
  <c r="D105" i="12"/>
  <c r="E105" i="12"/>
  <c r="C105" i="12"/>
  <c r="B105" i="12"/>
  <c r="B14" i="12"/>
  <c r="C13" i="12"/>
  <c r="D13" i="12"/>
  <c r="E13" i="12"/>
  <c r="F13" i="12"/>
  <c r="G13" i="12"/>
  <c r="H13" i="12"/>
  <c r="I13" i="12"/>
  <c r="J13" i="12"/>
  <c r="K13" i="12"/>
  <c r="B13" i="12"/>
  <c r="L7" i="12"/>
  <c r="N7" i="12" s="1"/>
  <c r="L8" i="12"/>
  <c r="N8" i="12" s="1"/>
  <c r="L9" i="12"/>
  <c r="L10" i="12"/>
  <c r="N10" i="12" s="1"/>
  <c r="L11" i="12"/>
  <c r="N11" i="12" s="1"/>
  <c r="L12" i="12"/>
  <c r="N12" i="12" s="1"/>
  <c r="L4" i="12"/>
  <c r="N4" i="12" s="1"/>
  <c r="L5" i="12"/>
  <c r="N5" i="12" s="1"/>
  <c r="L6" i="12"/>
  <c r="N6" i="12" s="1"/>
  <c r="H12" i="1"/>
  <c r="H11" i="1"/>
  <c r="I7" i="1"/>
  <c r="I8" i="1"/>
  <c r="I10" i="1"/>
  <c r="H9" i="1"/>
  <c r="I4" i="1"/>
  <c r="I5" i="1"/>
  <c r="H6" i="1"/>
  <c r="E47" i="2"/>
  <c r="D47" i="2"/>
  <c r="C47" i="2"/>
  <c r="F46" i="2"/>
  <c r="F45" i="2"/>
  <c r="F44" i="2"/>
  <c r="F43" i="2"/>
  <c r="F42" i="2"/>
  <c r="F41" i="2"/>
  <c r="F40" i="2"/>
  <c r="F39" i="2"/>
  <c r="F38" i="2"/>
  <c r="F37" i="2"/>
  <c r="F36" i="2"/>
  <c r="F35" i="2"/>
  <c r="E30" i="2"/>
  <c r="D30" i="2"/>
  <c r="C30" i="2"/>
  <c r="F29" i="2"/>
  <c r="F28" i="2"/>
  <c r="F27" i="2"/>
  <c r="F26" i="2"/>
  <c r="F25" i="2"/>
  <c r="F24" i="2"/>
  <c r="F23" i="2"/>
  <c r="F22" i="2"/>
  <c r="F21" i="2"/>
  <c r="F20" i="2"/>
  <c r="F19" i="2"/>
  <c r="F18" i="2"/>
  <c r="L7" i="2"/>
  <c r="L4" i="2"/>
  <c r="L5" i="2"/>
  <c r="L6" i="2"/>
  <c r="D44" i="9"/>
  <c r="C44" i="9"/>
  <c r="E43" i="9"/>
  <c r="E42" i="9"/>
  <c r="N37" i="9"/>
  <c r="D30" i="9"/>
  <c r="C30" i="9"/>
  <c r="E29" i="9"/>
  <c r="E28" i="9"/>
  <c r="E27" i="9"/>
  <c r="E26" i="9"/>
  <c r="E25" i="9"/>
  <c r="E24" i="9"/>
  <c r="E23" i="9"/>
  <c r="E22" i="9"/>
  <c r="L12" i="9"/>
  <c r="F47" i="2" l="1"/>
  <c r="N10" i="8"/>
  <c r="P10" i="8" s="1"/>
  <c r="F30" i="2"/>
  <c r="E44" i="9"/>
  <c r="P8" i="8"/>
  <c r="N16" i="8"/>
  <c r="P16" i="8" s="1"/>
  <c r="F105" i="12"/>
  <c r="L13" i="12"/>
  <c r="N13" i="12" s="1"/>
  <c r="N9" i="12"/>
  <c r="I9" i="1"/>
  <c r="G20" i="1"/>
  <c r="B44" i="9"/>
  <c r="B30" i="9"/>
  <c r="E30" i="9" s="1"/>
  <c r="K12" i="9"/>
  <c r="J12" i="9"/>
  <c r="I12" i="9"/>
  <c r="H12" i="9"/>
  <c r="G12" i="9"/>
  <c r="F12" i="9"/>
  <c r="E12" i="9"/>
  <c r="D12" i="9"/>
  <c r="C12" i="9"/>
  <c r="B12" i="9"/>
  <c r="P14" i="6"/>
  <c r="N6" i="6"/>
  <c r="P6" i="6" s="1"/>
  <c r="N8" i="6"/>
  <c r="P8" i="6" s="1"/>
  <c r="P9" i="6"/>
  <c r="N10" i="6"/>
  <c r="P10" i="6" s="1"/>
  <c r="N11" i="6"/>
  <c r="P11" i="6" s="1"/>
  <c r="N12" i="6"/>
  <c r="P12" i="6" s="1"/>
  <c r="N13" i="6"/>
  <c r="P13" i="6" s="1"/>
  <c r="N5" i="6"/>
  <c r="P5" i="6" s="1"/>
  <c r="C7" i="6"/>
  <c r="D7" i="6"/>
  <c r="F7" i="6"/>
  <c r="G7" i="6"/>
  <c r="H7" i="6"/>
  <c r="J7" i="6"/>
  <c r="K7" i="6"/>
  <c r="M7" i="6"/>
  <c r="D4" i="6"/>
  <c r="F4" i="6"/>
  <c r="G4" i="6"/>
  <c r="H4" i="6"/>
  <c r="J4" i="6"/>
  <c r="K4" i="6"/>
  <c r="M4" i="6"/>
  <c r="C4" i="6"/>
  <c r="N17" i="6"/>
  <c r="P17" i="6" s="1"/>
  <c r="N16" i="6"/>
  <c r="P16" i="6" s="1"/>
  <c r="N15" i="6"/>
  <c r="P15" i="6" s="1"/>
  <c r="N14" i="6"/>
  <c r="O16" i="3"/>
  <c r="O4" i="3"/>
  <c r="O6" i="3"/>
  <c r="O7" i="3"/>
  <c r="O8" i="3"/>
  <c r="O9" i="3"/>
  <c r="O10" i="3"/>
  <c r="O11" i="3"/>
  <c r="O12" i="3"/>
  <c r="O13" i="3"/>
  <c r="O14" i="3"/>
  <c r="O15" i="3"/>
  <c r="O5" i="3"/>
  <c r="N16" i="3"/>
  <c r="C30" i="12"/>
  <c r="G14" i="1"/>
  <c r="B16" i="3"/>
  <c r="C16" i="3"/>
  <c r="E116" i="12"/>
  <c r="D115" i="12"/>
  <c r="C115" i="12"/>
  <c r="B115" i="12"/>
  <c r="F114" i="12"/>
  <c r="F113" i="12"/>
  <c r="F112" i="12"/>
  <c r="F111" i="12"/>
  <c r="F121" i="12"/>
  <c r="F122" i="12"/>
  <c r="F123" i="12"/>
  <c r="L23" i="12"/>
  <c r="N23" i="12" s="1"/>
  <c r="M16" i="3"/>
  <c r="G9" i="1"/>
  <c r="P24" i="6"/>
  <c r="P27" i="6"/>
  <c r="N25" i="6"/>
  <c r="P25" i="6" s="1"/>
  <c r="N28" i="6"/>
  <c r="P28" i="6" s="1"/>
  <c r="N29" i="6"/>
  <c r="P29" i="6" s="1"/>
  <c r="N30" i="6"/>
  <c r="P30" i="6" s="1"/>
  <c r="N31" i="6"/>
  <c r="P31" i="6" s="1"/>
  <c r="N32" i="6"/>
  <c r="P32" i="6" s="1"/>
  <c r="N33" i="6"/>
  <c r="P33" i="6" s="1"/>
  <c r="N34" i="6"/>
  <c r="P34" i="6" s="1"/>
  <c r="N35" i="6"/>
  <c r="P35" i="6" s="1"/>
  <c r="N36" i="6"/>
  <c r="P36" i="6" s="1"/>
  <c r="M64" i="8"/>
  <c r="L64" i="8"/>
  <c r="K64" i="8"/>
  <c r="J64" i="8"/>
  <c r="I64" i="8"/>
  <c r="H64" i="8"/>
  <c r="G64" i="8"/>
  <c r="F64" i="8"/>
  <c r="E64" i="8"/>
  <c r="D64" i="8"/>
  <c r="C64" i="8"/>
  <c r="B64" i="8"/>
  <c r="M63" i="8"/>
  <c r="L63" i="8"/>
  <c r="K63" i="8"/>
  <c r="J63" i="8"/>
  <c r="I63" i="8"/>
  <c r="H63" i="8"/>
  <c r="G63" i="8"/>
  <c r="F63" i="8"/>
  <c r="E63" i="8"/>
  <c r="D63" i="8"/>
  <c r="C63" i="8"/>
  <c r="B63" i="8"/>
  <c r="N7" i="6" l="1"/>
  <c r="P7" i="6" s="1"/>
  <c r="N4" i="6"/>
  <c r="P4" i="6" s="1"/>
  <c r="G112" i="12"/>
  <c r="G113" i="12"/>
  <c r="N26" i="6"/>
  <c r="P26" i="6" s="1"/>
  <c r="N23" i="6"/>
  <c r="P23" i="6" s="1"/>
  <c r="F115" i="12"/>
  <c r="G6" i="1"/>
  <c r="I6" i="1" s="1"/>
  <c r="N49" i="8"/>
  <c r="P49" i="8" s="1"/>
  <c r="N50" i="8"/>
  <c r="P50" i="8" s="1"/>
  <c r="N48" i="8"/>
  <c r="P48" i="8" s="1"/>
  <c r="K44" i="9" l="1"/>
  <c r="K30" i="9"/>
  <c r="H30" i="9"/>
  <c r="M30" i="12" l="1"/>
  <c r="K30" i="12"/>
  <c r="J30" i="12"/>
  <c r="I30" i="12"/>
  <c r="H30" i="12"/>
  <c r="G30" i="12"/>
  <c r="F30" i="12"/>
  <c r="E30" i="12"/>
  <c r="D30" i="12"/>
  <c r="B30" i="12"/>
  <c r="L29" i="12"/>
  <c r="N29" i="12" s="1"/>
  <c r="L28" i="12"/>
  <c r="N28" i="12" s="1"/>
  <c r="L27" i="12"/>
  <c r="N27" i="12" s="1"/>
  <c r="L26" i="12"/>
  <c r="N26" i="12" s="1"/>
  <c r="L25" i="12"/>
  <c r="N25" i="12" s="1"/>
  <c r="L24" i="12"/>
  <c r="N24" i="12" s="1"/>
  <c r="L22" i="12"/>
  <c r="N22" i="12" s="1"/>
  <c r="L21" i="12"/>
  <c r="O44" i="9"/>
  <c r="P44" i="9"/>
  <c r="Q44" i="9"/>
  <c r="N44" i="9"/>
  <c r="N57" i="8"/>
  <c r="P57" i="8" s="1"/>
  <c r="N58" i="8"/>
  <c r="P58" i="8" s="1"/>
  <c r="N59" i="8"/>
  <c r="P59" i="8" s="1"/>
  <c r="N60" i="8"/>
  <c r="P60" i="8" s="1"/>
  <c r="N61" i="8"/>
  <c r="P61" i="8" s="1"/>
  <c r="N62" i="8"/>
  <c r="P62" i="8" s="1"/>
  <c r="N56" i="8"/>
  <c r="P56" i="8" s="1"/>
  <c r="N70" i="8"/>
  <c r="P70" i="8" s="1"/>
  <c r="N71" i="8"/>
  <c r="P71" i="8" s="1"/>
  <c r="N69" i="8"/>
  <c r="P69" i="8" s="1"/>
  <c r="N63" i="8"/>
  <c r="P63" i="8" s="1"/>
  <c r="L30" i="12" l="1"/>
  <c r="N21" i="12"/>
  <c r="P47" i="6"/>
  <c r="P48" i="6"/>
  <c r="P49" i="6"/>
  <c r="P50" i="6"/>
  <c r="P51" i="6"/>
  <c r="P52" i="6"/>
  <c r="P41" i="6"/>
  <c r="P44" i="6"/>
  <c r="N30" i="12" l="1"/>
  <c r="C125" i="12"/>
  <c r="C116" i="12" s="1"/>
  <c r="B125" i="12"/>
  <c r="F12" i="1" l="1"/>
  <c r="I12" i="1" s="1"/>
  <c r="F11" i="1"/>
  <c r="I11" i="1" s="1"/>
  <c r="F9" i="1"/>
  <c r="F6" i="1"/>
  <c r="E20" i="1"/>
  <c r="F14" i="1" l="1"/>
  <c r="I14" i="1" s="1"/>
  <c r="L16" i="3"/>
  <c r="N64" i="8" l="1"/>
  <c r="P64" i="8" s="1"/>
  <c r="M46" i="12"/>
  <c r="M31" i="12" s="1"/>
  <c r="K46" i="12"/>
  <c r="J46" i="12"/>
  <c r="J31" i="12" s="1"/>
  <c r="I46" i="12"/>
  <c r="I31" i="12" s="1"/>
  <c r="H46" i="12"/>
  <c r="H31" i="12" s="1"/>
  <c r="G46" i="12"/>
  <c r="G31" i="12" s="1"/>
  <c r="F46" i="12"/>
  <c r="F31" i="12" s="1"/>
  <c r="E46" i="12"/>
  <c r="D46" i="12"/>
  <c r="D31" i="12" s="1"/>
  <c r="C46" i="12"/>
  <c r="C31" i="12" s="1"/>
  <c r="B46" i="12"/>
  <c r="B31" i="12" s="1"/>
  <c r="L45" i="12"/>
  <c r="N45" i="12" s="1"/>
  <c r="O29" i="12" s="1"/>
  <c r="L44" i="12"/>
  <c r="N44" i="12" s="1"/>
  <c r="O28" i="12" s="1"/>
  <c r="L43" i="12"/>
  <c r="N43" i="12" s="1"/>
  <c r="O27" i="12" s="1"/>
  <c r="L42" i="12"/>
  <c r="N42" i="12" s="1"/>
  <c r="O26" i="12" s="1"/>
  <c r="L41" i="12"/>
  <c r="N41" i="12" s="1"/>
  <c r="O25" i="12" s="1"/>
  <c r="L40" i="12"/>
  <c r="N40" i="12" s="1"/>
  <c r="O24" i="12" s="1"/>
  <c r="N39" i="12"/>
  <c r="L38" i="12"/>
  <c r="N38" i="12" s="1"/>
  <c r="O22" i="12" s="1"/>
  <c r="L37" i="12"/>
  <c r="N37" i="12" s="1"/>
  <c r="O21" i="12" s="1"/>
  <c r="D125" i="12"/>
  <c r="F125" i="12" s="1"/>
  <c r="F124" i="12"/>
  <c r="G114" i="12" s="1"/>
  <c r="F116" i="12" l="1"/>
  <c r="G115" i="12"/>
  <c r="L46" i="12"/>
  <c r="L31" i="12" s="1"/>
  <c r="E135" i="12"/>
  <c r="E126" i="12" s="1"/>
  <c r="N46" i="12" l="1"/>
  <c r="O30" i="12" l="1"/>
  <c r="N31" i="12"/>
  <c r="P61" i="6"/>
  <c r="P60" i="6"/>
  <c r="D20" i="1"/>
  <c r="Q30" i="9"/>
  <c r="P30" i="9"/>
  <c r="O30" i="9"/>
  <c r="N30" i="9"/>
  <c r="P38" i="8" l="1"/>
  <c r="P43" i="8"/>
  <c r="P42" i="8"/>
  <c r="P41" i="8"/>
  <c r="P40" i="8"/>
  <c r="P39" i="8"/>
  <c r="E12" i="1" l="1"/>
  <c r="E11" i="1"/>
  <c r="E9" i="1"/>
  <c r="E6" i="1"/>
  <c r="E14" i="1" l="1"/>
  <c r="K16" i="3"/>
  <c r="K62" i="12" l="1"/>
  <c r="J62" i="12"/>
  <c r="J47" i="12" s="1"/>
  <c r="I62" i="12"/>
  <c r="I47" i="12" s="1"/>
  <c r="H62" i="12"/>
  <c r="H47" i="12" s="1"/>
  <c r="G62" i="12"/>
  <c r="G47" i="12" s="1"/>
  <c r="F62" i="12"/>
  <c r="F47" i="12" s="1"/>
  <c r="E62" i="12"/>
  <c r="D62" i="12"/>
  <c r="D47" i="12" s="1"/>
  <c r="L61" i="12"/>
  <c r="N61" i="12" s="1"/>
  <c r="O45" i="12" s="1"/>
  <c r="L60" i="12"/>
  <c r="N60" i="12" s="1"/>
  <c r="O44" i="12" s="1"/>
  <c r="L59" i="12"/>
  <c r="N59" i="12" s="1"/>
  <c r="O43" i="12" s="1"/>
  <c r="L58" i="12"/>
  <c r="N58" i="12" s="1"/>
  <c r="O42" i="12" s="1"/>
  <c r="L57" i="12"/>
  <c r="N57" i="12" s="1"/>
  <c r="O41" i="12" s="1"/>
  <c r="C62" i="12"/>
  <c r="C47" i="12" s="1"/>
  <c r="L56" i="12"/>
  <c r="N56" i="12" s="1"/>
  <c r="O40" i="12" s="1"/>
  <c r="L55" i="12"/>
  <c r="N55" i="12" s="1"/>
  <c r="O39" i="12" s="1"/>
  <c r="L54" i="12"/>
  <c r="N54" i="12" s="1"/>
  <c r="O38" i="12" s="1"/>
  <c r="L53" i="12"/>
  <c r="D135" i="12"/>
  <c r="C135" i="12"/>
  <c r="C126" i="12" s="1"/>
  <c r="F134" i="12"/>
  <c r="F133" i="12"/>
  <c r="G123" i="12" s="1"/>
  <c r="F132" i="12"/>
  <c r="G122" i="12" s="1"/>
  <c r="F131" i="12"/>
  <c r="G124" i="12" l="1"/>
  <c r="N53" i="12"/>
  <c r="O37" i="12" s="1"/>
  <c r="L62" i="12"/>
  <c r="L47" i="12" s="1"/>
  <c r="B62" i="12"/>
  <c r="B47" i="12" s="1"/>
  <c r="M62" i="12"/>
  <c r="M47" i="12" s="1"/>
  <c r="F135" i="12"/>
  <c r="F126" i="12" l="1"/>
  <c r="G125" i="12"/>
  <c r="N62" i="12"/>
  <c r="O46" i="12" l="1"/>
  <c r="N47" i="12"/>
  <c r="D14" i="1"/>
  <c r="D9" i="1"/>
  <c r="D6" i="1"/>
  <c r="G141" i="12" l="1"/>
  <c r="L69" i="12"/>
  <c r="G77" i="12"/>
  <c r="C77" i="12"/>
  <c r="B77" i="12"/>
  <c r="G76" i="12"/>
  <c r="C76" i="12"/>
  <c r="C72" i="12"/>
  <c r="B72" i="12"/>
  <c r="L77" i="12" l="1"/>
  <c r="J16" i="3" l="1"/>
  <c r="M74" i="12" l="1"/>
  <c r="M69" i="12"/>
  <c r="B78" i="12"/>
  <c r="B63" i="12" s="1"/>
  <c r="E145" i="12"/>
  <c r="E136" i="12" s="1"/>
  <c r="P74" i="6"/>
  <c r="P73" i="6"/>
  <c r="N84" i="6"/>
  <c r="O84" i="6" s="1"/>
  <c r="N83" i="6"/>
  <c r="O83" i="6" s="1"/>
  <c r="M78" i="12" l="1"/>
  <c r="M63" i="12" s="1"/>
  <c r="K78" i="12"/>
  <c r="J78" i="12"/>
  <c r="J63" i="12" s="1"/>
  <c r="I78" i="12"/>
  <c r="I63" i="12" s="1"/>
  <c r="H78" i="12"/>
  <c r="H63" i="12" s="1"/>
  <c r="G78" i="12"/>
  <c r="G63" i="12" s="1"/>
  <c r="F78" i="12"/>
  <c r="F63" i="12" s="1"/>
  <c r="E78" i="12"/>
  <c r="E63" i="12" s="1"/>
  <c r="D78" i="12"/>
  <c r="D63" i="12" s="1"/>
  <c r="C78" i="12"/>
  <c r="C63" i="12" s="1"/>
  <c r="N77" i="12"/>
  <c r="O61" i="12" s="1"/>
  <c r="L76" i="12"/>
  <c r="N76" i="12" s="1"/>
  <c r="O60" i="12" s="1"/>
  <c r="L75" i="12"/>
  <c r="N75" i="12" s="1"/>
  <c r="O59" i="12" s="1"/>
  <c r="L74" i="12"/>
  <c r="N74" i="12" s="1"/>
  <c r="O58" i="12" s="1"/>
  <c r="L73" i="12"/>
  <c r="N73" i="12" s="1"/>
  <c r="O57" i="12" s="1"/>
  <c r="L72" i="12"/>
  <c r="N72" i="12" s="1"/>
  <c r="O56" i="12" s="1"/>
  <c r="L71" i="12"/>
  <c r="N71" i="12" s="1"/>
  <c r="O55" i="12" s="1"/>
  <c r="L70" i="12"/>
  <c r="N70" i="12" s="1"/>
  <c r="O54" i="12" s="1"/>
  <c r="D145" i="12"/>
  <c r="C145" i="12"/>
  <c r="C136" i="12" s="1"/>
  <c r="F144" i="12"/>
  <c r="G134" i="12" s="1"/>
  <c r="F143" i="12"/>
  <c r="G133" i="12" s="1"/>
  <c r="F142" i="12"/>
  <c r="G132" i="12" s="1"/>
  <c r="F141" i="12"/>
  <c r="G131" i="12" s="1"/>
  <c r="N69" i="12" l="1"/>
  <c r="O53" i="12" s="1"/>
  <c r="L78" i="12"/>
  <c r="L63" i="12" s="1"/>
  <c r="F145" i="12"/>
  <c r="B20" i="1"/>
  <c r="F136" i="12" l="1"/>
  <c r="G135" i="12"/>
  <c r="N78" i="12"/>
  <c r="N63" i="12" l="1"/>
  <c r="O62" i="12"/>
  <c r="B94" i="12"/>
  <c r="B79" i="12" s="1"/>
  <c r="E154" i="12"/>
  <c r="E146" i="12" s="1"/>
  <c r="D154" i="12"/>
  <c r="C154" i="12"/>
  <c r="B154" i="12"/>
  <c r="G153" i="12"/>
  <c r="G144" i="12" s="1"/>
  <c r="F153" i="12"/>
  <c r="G152" i="12"/>
  <c r="G143" i="12" s="1"/>
  <c r="F152" i="12"/>
  <c r="G151" i="12"/>
  <c r="G142" i="12" s="1"/>
  <c r="F151" i="12"/>
  <c r="G150" i="12"/>
  <c r="F150" i="12"/>
  <c r="M94" i="12"/>
  <c r="M79" i="12" s="1"/>
  <c r="K94" i="12"/>
  <c r="J94" i="12"/>
  <c r="J79" i="12" s="1"/>
  <c r="I94" i="12"/>
  <c r="H94" i="12"/>
  <c r="H79" i="12" s="1"/>
  <c r="G94" i="12"/>
  <c r="G79" i="12" s="1"/>
  <c r="F94" i="12"/>
  <c r="F79" i="12" s="1"/>
  <c r="E94" i="12"/>
  <c r="D94" i="12"/>
  <c r="D79" i="12" s="1"/>
  <c r="C94" i="12"/>
  <c r="C79" i="12" s="1"/>
  <c r="L93" i="12"/>
  <c r="N93" i="12" s="1"/>
  <c r="O77" i="12" s="1"/>
  <c r="L92" i="12"/>
  <c r="N92" i="12" s="1"/>
  <c r="O76" i="12" s="1"/>
  <c r="L91" i="12"/>
  <c r="N91" i="12" s="1"/>
  <c r="O75" i="12" s="1"/>
  <c r="L90" i="12"/>
  <c r="N90" i="12" s="1"/>
  <c r="O74" i="12" s="1"/>
  <c r="L89" i="12"/>
  <c r="N89" i="12" s="1"/>
  <c r="O73" i="12" s="1"/>
  <c r="L88" i="12"/>
  <c r="N88" i="12" s="1"/>
  <c r="O72" i="12" s="1"/>
  <c r="L87" i="12"/>
  <c r="N87" i="12" s="1"/>
  <c r="O71" i="12" s="1"/>
  <c r="L86" i="12"/>
  <c r="N86" i="12" s="1"/>
  <c r="O70" i="12" s="1"/>
  <c r="L85" i="12"/>
  <c r="N85" i="12" s="1"/>
  <c r="O69" i="12" s="1"/>
  <c r="I79" i="12" l="1"/>
  <c r="C146" i="12"/>
  <c r="F154" i="12"/>
  <c r="G154" i="12"/>
  <c r="G145" i="12" s="1"/>
  <c r="L94" i="12"/>
  <c r="L79" i="12" s="1"/>
  <c r="F146" i="12" l="1"/>
  <c r="N94" i="12"/>
  <c r="O78" i="12" l="1"/>
  <c r="N79" i="12"/>
  <c r="I16" i="3"/>
  <c r="C12" i="1" l="1"/>
  <c r="C11" i="1"/>
  <c r="C9" i="1"/>
  <c r="C6" i="1"/>
  <c r="C14" i="1" l="1"/>
  <c r="N95" i="6"/>
  <c r="B12" i="1" l="1"/>
  <c r="B11" i="1"/>
  <c r="B9" i="1"/>
  <c r="B6" i="1"/>
  <c r="B14" i="1" l="1"/>
  <c r="H16" i="3" l="1"/>
  <c r="G16" i="3" l="1"/>
  <c r="F16" i="3" l="1"/>
  <c r="D16" i="3" l="1"/>
</calcChain>
</file>

<file path=xl/sharedStrings.xml><?xml version="1.0" encoding="utf-8"?>
<sst xmlns="http://schemas.openxmlformats.org/spreadsheetml/2006/main" count="927" uniqueCount="263">
  <si>
    <t>% change</t>
  </si>
  <si>
    <t>Reference On-Call</t>
  </si>
  <si>
    <t xml:space="preserve">Reference   </t>
  </si>
  <si>
    <t>TOTAL Reference</t>
  </si>
  <si>
    <t>TOTAL Machine</t>
  </si>
  <si>
    <t>Grand Total On-Call</t>
  </si>
  <si>
    <t>Grand Total Off-Call</t>
  </si>
  <si>
    <t>GRAND TOTAL</t>
  </si>
  <si>
    <t>Month</t>
  </si>
  <si>
    <t>2010-11</t>
  </si>
  <si>
    <t>2012-2013</t>
  </si>
  <si>
    <t>2013-2014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</si>
  <si>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</si>
  <si>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</si>
  <si>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</si>
  <si>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</si>
  <si>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</si>
  <si>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</si>
  <si>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</si>
  <si>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</si>
  <si>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</si>
  <si>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>April</t>
  </si>
  <si>
    <t>May</t>
  </si>
  <si>
    <t>June</t>
  </si>
  <si>
    <t>TOTAL</t>
  </si>
  <si>
    <t>2011-12</t>
  </si>
  <si>
    <t>AVEquip</t>
  </si>
  <si>
    <t>Book</t>
  </si>
  <si>
    <t>CDs</t>
  </si>
  <si>
    <t>CompDsk</t>
  </si>
  <si>
    <t>Docs</t>
  </si>
  <si>
    <t>DVD</t>
  </si>
  <si>
    <t>Record</t>
  </si>
  <si>
    <t>Score</t>
  </si>
  <si>
    <t>Video</t>
  </si>
  <si>
    <t>Total</t>
  </si>
  <si>
    <t>Renew</t>
  </si>
  <si>
    <t>Dependent</t>
  </si>
  <si>
    <t>Faculty</t>
  </si>
  <si>
    <t>ILL</t>
  </si>
  <si>
    <t>Staff</t>
  </si>
  <si>
    <t>Student</t>
  </si>
  <si>
    <t>Average Page Views</t>
  </si>
  <si>
    <t>Page Views</t>
  </si>
  <si>
    <t>Unique Visitors</t>
  </si>
  <si>
    <t>Visits</t>
  </si>
  <si>
    <t>Library Website</t>
  </si>
  <si>
    <t>Pages Per Visit</t>
  </si>
  <si>
    <t>March</t>
  </si>
  <si>
    <t>ContentDM</t>
  </si>
  <si>
    <t>Av-Equip</t>
  </si>
  <si>
    <t>w/o AV</t>
  </si>
  <si>
    <t>Adj Fac</t>
  </si>
  <si>
    <t>% Change</t>
  </si>
  <si>
    <t>Borrowing (From Borrower Activity Overview Report)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</si>
  <si>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</si>
  <si>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</si>
  <si>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</si>
  <si>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</si>
  <si>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</si>
  <si>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</si>
  <si>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</si>
  <si>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</si>
  <si>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</si>
  <si>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</si>
  <si>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</si>
  <si>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</si>
  <si>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Requests Initiated</t>
  </si>
  <si>
    <t>Cancelled</t>
  </si>
  <si>
    <t>Completed</t>
  </si>
  <si>
    <t>Loans Filled</t>
  </si>
  <si>
    <t>Copies Filled</t>
  </si>
  <si>
    <t>TOTAL Filled</t>
  </si>
  <si>
    <t>TOTAL Unfilled</t>
  </si>
  <si>
    <t>Known % Filled</t>
  </si>
  <si>
    <t>Known % Unfilled</t>
  </si>
  <si>
    <t>Borrowing COPIES</t>
  </si>
  <si>
    <t>Borrowing LOANS</t>
  </si>
  <si>
    <t>LENDING (From Lender Activity Overview Report)</t>
  </si>
  <si>
    <t>Requests Rec'd</t>
  </si>
  <si>
    <t>Lending Filled</t>
  </si>
  <si>
    <t>Lending COPIES</t>
  </si>
  <si>
    <t>Lending LOANS</t>
  </si>
  <si>
    <t>Service</t>
  </si>
  <si>
    <t># Transactions</t>
  </si>
  <si>
    <t>CCC (copyright)</t>
  </si>
  <si>
    <t>Dissertations</t>
  </si>
  <si>
    <t>SUBTOTAL</t>
  </si>
  <si>
    <t>ILL Non-IFM</t>
  </si>
  <si>
    <t>ILL IFM</t>
  </si>
  <si>
    <t>Stetson Expenditures for Lost ILL Books</t>
  </si>
  <si>
    <t>TOTAL (Doc Delivery Budget)</t>
  </si>
  <si>
    <t>INCOME IN REIMBURSEMENTS</t>
  </si>
  <si>
    <t>Reimbursements by libraries to Stetson for Lost ILL Books</t>
  </si>
  <si>
    <t>ILL fees paid for by patrons or libraries (IFM to Stetson)</t>
  </si>
  <si>
    <t>Total ILL Income</t>
  </si>
  <si>
    <t>Totals</t>
  </si>
  <si>
    <t>Total Number of Sessions</t>
  </si>
  <si>
    <t>Number of People Attending</t>
  </si>
  <si>
    <t>Number Undergraduate Sessions</t>
  </si>
  <si>
    <t>Number Undergraduate Students</t>
  </si>
  <si>
    <t>Number Graduate Sessions</t>
  </si>
  <si>
    <t>Number of Graduate Students</t>
  </si>
  <si>
    <t>Number of Tours</t>
  </si>
  <si>
    <t>Format</t>
  </si>
  <si>
    <t>Paper</t>
  </si>
  <si>
    <t>Microfiche</t>
  </si>
  <si>
    <t>Maps</t>
  </si>
  <si>
    <t>CD-ROMs</t>
  </si>
  <si>
    <t>Floppy disks</t>
  </si>
  <si>
    <t>Videos</t>
  </si>
  <si>
    <t>DVDs</t>
  </si>
  <si>
    <t>% Change from Previous Year</t>
  </si>
  <si>
    <t>Added PURLs to Existing Records</t>
  </si>
  <si>
    <t>Microfilm reels</t>
  </si>
  <si>
    <t>Federal Depository Item Profile</t>
  </si>
  <si>
    <t>Total Items Available</t>
  </si>
  <si>
    <t>Total Items Selected</t>
  </si>
  <si>
    <t>Percent Selected</t>
  </si>
  <si>
    <t>NA</t>
  </si>
  <si>
    <t>2014-2015</t>
  </si>
  <si>
    <t>Tablet</t>
  </si>
  <si>
    <t>2014-15</t>
  </si>
  <si>
    <t>2015-16</t>
  </si>
  <si>
    <t>2015-2016</t>
  </si>
  <si>
    <t>One on-call librarian did not turn in his 2015-2016 stats.</t>
  </si>
  <si>
    <t>2016-2017</t>
  </si>
  <si>
    <t>2016-17</t>
  </si>
  <si>
    <t>Library Instruction Totals (ARPS1617-11)</t>
  </si>
  <si>
    <t>N/A</t>
  </si>
  <si>
    <t>Articles purchased</t>
  </si>
  <si>
    <t>Staff/ Other</t>
  </si>
  <si>
    <t>Percent change</t>
  </si>
  <si>
    <t>Circulation Statistics 2017-2018 (ARPS1718-06)</t>
  </si>
  <si>
    <t>Books</t>
  </si>
  <si>
    <t>Associates/Reg Mem</t>
  </si>
  <si>
    <t>Hatter Alumni</t>
  </si>
  <si>
    <t>Alumni</t>
  </si>
  <si>
    <t>Adjunct Fac.</t>
  </si>
  <si>
    <t>2017-18</t>
  </si>
  <si>
    <t>2012-13</t>
  </si>
  <si>
    <t>2013-14</t>
  </si>
  <si>
    <t>Library Instruction Totals (ARPS1718-11)</t>
  </si>
  <si>
    <t>Consultations</t>
  </si>
  <si>
    <t>Machine On-Call (email)</t>
  </si>
  <si>
    <t>Machine (email)</t>
  </si>
  <si>
    <t>2017-2018</t>
  </si>
  <si>
    <t xml:space="preserve">In Jan. 2018 we changed the location for most AV items. </t>
  </si>
  <si>
    <t>From 2018 onward, they are part of the regular circulation numbers.</t>
  </si>
  <si>
    <t>In library use</t>
  </si>
  <si>
    <t>Unique Visitors = New Users</t>
  </si>
  <si>
    <t>Page Views = Pageviews</t>
  </si>
  <si>
    <t>Visits = Sessions</t>
  </si>
  <si>
    <t>Pages per Visit = Pages/Session</t>
  </si>
  <si>
    <t>Archives Reference</t>
  </si>
  <si>
    <t xml:space="preserve">Reference </t>
  </si>
  <si>
    <t>Reference (email)</t>
  </si>
  <si>
    <t>2018-19</t>
  </si>
  <si>
    <t>Reserves Statisitcs Fiscal Year 2018-2019 (ARPS1819-07)</t>
  </si>
  <si>
    <t>Circulation Statistics 2018-2019 (ARPS1819-06)</t>
  </si>
  <si>
    <t>2017-18 Total</t>
  </si>
  <si>
    <t>Library Instruction Totals (ARPS1819-11)</t>
  </si>
  <si>
    <t>Associates</t>
  </si>
  <si>
    <t>AVEquip*</t>
  </si>
  <si>
    <t xml:space="preserve"> </t>
  </si>
  <si>
    <t>2018-2019</t>
  </si>
  <si>
    <t>Circulation staff began recording reference transactions in August 2017. Turnover in Circulation in 2018-19 accounts for lower off-call number.</t>
  </si>
  <si>
    <t>*Includes laptops, cameras, tripods, microphones, and Digital Arts equipment.</t>
  </si>
  <si>
    <t>Circulation Statistics 2019-2020 (ARPS1920-06)</t>
  </si>
  <si>
    <t>Reserves Statisitcs Fiscal Year 2019-2020 (ARPS1920-07)</t>
  </si>
  <si>
    <t>2019-20</t>
  </si>
  <si>
    <t>Holdings 6/30/20</t>
  </si>
  <si>
    <t>Library Instruction Totals (ARPS1920-11)</t>
  </si>
  <si>
    <t>Holdings 6/30/2020</t>
  </si>
  <si>
    <t>Number Undergraduate Info Lit Sessions</t>
  </si>
  <si>
    <t>Number Graduate Info Lit Sessions</t>
  </si>
  <si>
    <t>Number Innovation Lab Sessions</t>
  </si>
  <si>
    <t>Number of Innovation Lab Participants</t>
  </si>
  <si>
    <t>2019-20 Totals</t>
  </si>
  <si>
    <t>2018-19 Totals</t>
  </si>
  <si>
    <t>2019-2020</t>
  </si>
  <si>
    <t>2020-21</t>
  </si>
  <si>
    <t>Reserves Statisitcs Fiscal Year 2020-21 (ARPS2021-07)</t>
  </si>
  <si>
    <t>Circulation Statistics 2020-21 (ARPS2021-06)</t>
  </si>
  <si>
    <t>TOTAL 2020-21</t>
  </si>
  <si>
    <t>INTERLIBRARY LOAN FY 2020-2021</t>
  </si>
  <si>
    <t>Library Instruction Totals (ARPS2021-11)</t>
  </si>
  <si>
    <t>2020-21 Totals</t>
  </si>
  <si>
    <t>Additions 2020-2021</t>
  </si>
  <si>
    <t>Discards 2020-2021</t>
  </si>
  <si>
    <t>Holdings 6/30/2021</t>
  </si>
  <si>
    <t>Florida Documents Uncataloged Collection 2020-21</t>
  </si>
  <si>
    <t>Holdings 6/30/21</t>
  </si>
  <si>
    <t>Asynchonous sessions</t>
  </si>
  <si>
    <t>Synchronous Sessions</t>
  </si>
  <si>
    <t>Total Number of People Attending</t>
  </si>
  <si>
    <t>Asynchonous session attendees</t>
  </si>
  <si>
    <t>Synchronous Session attendees</t>
  </si>
  <si>
    <t>Number Synchronous Undergraduate Info Lit Sessions</t>
  </si>
  <si>
    <t>Number Synchronous Undergraduate Students</t>
  </si>
  <si>
    <t>Number of Tour participants</t>
  </si>
  <si>
    <t xml:space="preserve">N/A </t>
  </si>
  <si>
    <t>2020-2021</t>
  </si>
  <si>
    <t>Federal Documents Tangible Collection 2020-2021</t>
  </si>
  <si>
    <t>Electronic-only added to Catalog</t>
  </si>
  <si>
    <t>2021-22</t>
  </si>
  <si>
    <t>Circulation Statistics 2021-22 (ARPS2022-06)</t>
  </si>
  <si>
    <t>Total 2021-22</t>
  </si>
  <si>
    <t>TOTAL 2021-22</t>
  </si>
  <si>
    <t>2021-2022 Total</t>
  </si>
  <si>
    <t>Library Instruction Totals (ARPS2022-11)</t>
  </si>
  <si>
    <t>2021-22 Totals</t>
  </si>
  <si>
    <t>Federal Documents Tangible Collection 2021-2022</t>
  </si>
  <si>
    <t>Added</t>
  </si>
  <si>
    <t>Discarded</t>
  </si>
  <si>
    <t>Holdings 6/30/22</t>
  </si>
  <si>
    <t>Florida Documents Uncataloged Collection 2021-2022</t>
  </si>
  <si>
    <t>2021-2022</t>
  </si>
  <si>
    <t>TBLC Delivery via FedEx (12 month cost -not billed as our FY)</t>
  </si>
  <si>
    <t>Sep. 2021</t>
  </si>
  <si>
    <t>Aug. 2021</t>
  </si>
  <si>
    <t>Oct. 2021</t>
  </si>
  <si>
    <t>Nov. 2021</t>
  </si>
  <si>
    <t>Dec. 2021</t>
  </si>
  <si>
    <t>Jan. 2022</t>
  </si>
  <si>
    <t>Feb. 2022</t>
  </si>
  <si>
    <t>Apr. 2022</t>
  </si>
  <si>
    <t>Mar. 2022</t>
  </si>
  <si>
    <t>May 2022</t>
  </si>
  <si>
    <t>June 2022</t>
  </si>
  <si>
    <t>Reserves Statisitcs Fiscal Year 2021-22 (ARPS2022-07)</t>
  </si>
  <si>
    <t>Asynchonous Sessions</t>
  </si>
  <si>
    <t>Total Number of Attendees</t>
  </si>
  <si>
    <t>2022-23</t>
  </si>
  <si>
    <t>Reserves Statisitcs Fiscal Year 2022-23 (ARPS2023-07)</t>
  </si>
  <si>
    <t>INTERLIBRARY LOAN FY 2021-2022 (ARPS2022-08)</t>
  </si>
  <si>
    <t>Total 2022-23</t>
  </si>
  <si>
    <t>TOTAL 2022-23</t>
  </si>
  <si>
    <t>DOCUMENT DELIVERY 2022-2023 AR Summary</t>
  </si>
  <si>
    <t>2022-23 Totals</t>
  </si>
  <si>
    <t>2022-2023</t>
  </si>
  <si>
    <t>Trends in Depository Receipts FY 2012-13 through FY 2022-2023</t>
  </si>
  <si>
    <t>Federal Documents Tangible Collection 2022-2023</t>
  </si>
  <si>
    <t>Holdings 6/30/23</t>
  </si>
  <si>
    <t>Florida Documents Uncataloged Collection 2022-23</t>
  </si>
  <si>
    <t>Discards  2020-21</t>
  </si>
  <si>
    <t>Additions  2020-21</t>
  </si>
  <si>
    <t>2022-23 One librarian did not report Archives Reference data.</t>
  </si>
  <si>
    <t>none</t>
  </si>
  <si>
    <t xml:space="preserve">Reserves Statisitcs Fiscal Year 2017-2018 </t>
  </si>
  <si>
    <t>2022-2023 Total</t>
  </si>
  <si>
    <t xml:space="preserve">INTERLIBRARY LOAN FY 2022-23 </t>
  </si>
  <si>
    <t>Circulation Statistics 2022-23</t>
  </si>
  <si>
    <t xml:space="preserve">GATE COUNT </t>
  </si>
  <si>
    <t>Library Website Visits</t>
  </si>
  <si>
    <t>Library Instruction Totals 2022-23</t>
  </si>
  <si>
    <t xml:space="preserve">Reference Statistics </t>
  </si>
  <si>
    <t>INTERLIBRARY LOAN LENDING FY 2022-2023</t>
  </si>
  <si>
    <t>LibGuides</t>
  </si>
  <si>
    <t>Number of guides</t>
  </si>
  <si>
    <t>Guide views</t>
  </si>
  <si>
    <t>A to Z databases page views</t>
  </si>
  <si>
    <t>Numer of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</si>
</sst>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  <numFmt numFmtId="167" formatCode="0.000"/>
    <numFmt numFmtId="168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indexed="10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6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0" xfId="0" applyFont="1" applyAlignment="1">
      <alignment horizontal="right"/>
    </xf>
    <xf numFmtId="167" fontId="4" fillId="0" borderId="0" xfId="0" applyNumberFormat="1" applyFont="1"/>
    <xf numFmtId="0" fontId="5" fillId="3" borderId="2" xfId="0" applyFont="1" applyFill="1" applyBorder="1"/>
    <xf numFmtId="9" fontId="4" fillId="0" borderId="2" xfId="2" applyFont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/>
    <xf numFmtId="0" fontId="7" fillId="0" borderId="2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right"/>
    </xf>
    <xf numFmtId="9" fontId="4" fillId="0" borderId="2" xfId="2" applyFont="1" applyBorder="1"/>
    <xf numFmtId="0" fontId="7" fillId="0" borderId="0" xfId="3" applyFont="1"/>
    <xf numFmtId="9" fontId="4" fillId="0" borderId="0" xfId="2" applyFont="1" applyFill="1" applyBorder="1"/>
    <xf numFmtId="0" fontId="6" fillId="2" borderId="2" xfId="0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9" fontId="4" fillId="0" borderId="0" xfId="2" applyFont="1" applyFill="1" applyBorder="1" applyAlignment="1">
      <alignment horizontal="right"/>
    </xf>
    <xf numFmtId="9" fontId="7" fillId="0" borderId="2" xfId="2" applyFont="1" applyBorder="1" applyAlignment="1">
      <alignment horizontal="center"/>
    </xf>
    <xf numFmtId="9" fontId="4" fillId="0" borderId="2" xfId="2" applyFont="1" applyFill="1" applyBorder="1" applyAlignment="1">
      <alignment horizontal="center"/>
    </xf>
    <xf numFmtId="9" fontId="4" fillId="0" borderId="2" xfId="2" applyFont="1" applyFill="1" applyBorder="1" applyAlignment="1">
      <alignment horizontal="right"/>
    </xf>
    <xf numFmtId="9" fontId="7" fillId="0" borderId="0" xfId="2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" fontId="4" fillId="0" borderId="0" xfId="0" applyNumberFormat="1" applyFont="1" applyAlignment="1">
      <alignment horizontal="left"/>
    </xf>
    <xf numFmtId="9" fontId="4" fillId="0" borderId="0" xfId="2" applyFont="1" applyBorder="1" applyAlignment="1">
      <alignment horizontal="right"/>
    </xf>
    <xf numFmtId="9" fontId="4" fillId="0" borderId="13" xfId="2" applyFont="1" applyBorder="1"/>
    <xf numFmtId="9" fontId="4" fillId="0" borderId="13" xfId="2" applyFont="1" applyBorder="1" applyAlignment="1">
      <alignment horizontal="right"/>
    </xf>
    <xf numFmtId="9" fontId="7" fillId="0" borderId="0" xfId="2" applyFont="1" applyBorder="1" applyAlignment="1">
      <alignment horizontal="center"/>
    </xf>
    <xf numFmtId="9" fontId="4" fillId="0" borderId="0" xfId="2" applyFont="1" applyBorder="1"/>
    <xf numFmtId="164" fontId="4" fillId="0" borderId="0" xfId="0" applyNumberFormat="1" applyFont="1"/>
    <xf numFmtId="0" fontId="5" fillId="0" borderId="2" xfId="0" applyFont="1" applyBorder="1"/>
    <xf numFmtId="0" fontId="4" fillId="3" borderId="2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wrapText="1"/>
    </xf>
    <xf numFmtId="168" fontId="4" fillId="0" borderId="0" xfId="0" applyNumberFormat="1" applyFont="1"/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4" fontId="4" fillId="0" borderId="2" xfId="5" applyFont="1" applyBorder="1"/>
    <xf numFmtId="0" fontId="6" fillId="0" borderId="2" xfId="0" applyFont="1" applyBorder="1" applyAlignment="1">
      <alignment wrapText="1"/>
    </xf>
    <xf numFmtId="44" fontId="5" fillId="0" borderId="2" xfId="5" applyFont="1" applyBorder="1"/>
    <xf numFmtId="44" fontId="4" fillId="0" borderId="2" xfId="5" applyFont="1" applyFill="1" applyBorder="1"/>
    <xf numFmtId="44" fontId="6" fillId="0" borderId="2" xfId="0" applyNumberFormat="1" applyFont="1" applyBorder="1"/>
    <xf numFmtId="0" fontId="6" fillId="0" borderId="2" xfId="0" applyFont="1" applyBorder="1"/>
    <xf numFmtId="0" fontId="7" fillId="0" borderId="0" xfId="0" applyFont="1" applyAlignment="1">
      <alignment wrapText="1"/>
    </xf>
    <xf numFmtId="44" fontId="6" fillId="0" borderId="0" xfId="0" applyNumberFormat="1" applyFont="1"/>
    <xf numFmtId="9" fontId="4" fillId="0" borderId="0" xfId="2" applyFont="1"/>
    <xf numFmtId="9" fontId="4" fillId="0" borderId="0" xfId="2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3" fontId="7" fillId="0" borderId="2" xfId="3" applyNumberFormat="1" applyFont="1" applyBorder="1"/>
    <xf numFmtId="3" fontId="4" fillId="0" borderId="2" xfId="0" applyNumberFormat="1" applyFont="1" applyBorder="1"/>
    <xf numFmtId="3" fontId="4" fillId="0" borderId="2" xfId="0" applyNumberFormat="1" applyFont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4" fillId="0" borderId="2" xfId="2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2" fontId="4" fillId="0" borderId="2" xfId="0" applyNumberFormat="1" applyFont="1" applyBorder="1"/>
    <xf numFmtId="2" fontId="5" fillId="0" borderId="2" xfId="0" applyNumberFormat="1" applyFont="1" applyBorder="1"/>
    <xf numFmtId="44" fontId="4" fillId="0" borderId="2" xfId="0" applyNumberFormat="1" applyFont="1" applyBorder="1"/>
    <xf numFmtId="0" fontId="6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6" fillId="0" borderId="3" xfId="0" applyFont="1" applyBorder="1"/>
    <xf numFmtId="0" fontId="4" fillId="0" borderId="3" xfId="0" applyFont="1" applyBorder="1"/>
    <xf numFmtId="0" fontId="3" fillId="3" borderId="2" xfId="0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right"/>
    </xf>
    <xf numFmtId="0" fontId="6" fillId="0" borderId="3" xfId="0" applyFont="1" applyBorder="1"/>
    <xf numFmtId="0" fontId="5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9" fillId="0" borderId="2" xfId="0" applyFont="1" applyBorder="1" applyAlignment="1"/>
    <xf numFmtId="0" fontId="7" fillId="0" borderId="2" xfId="0" applyFont="1" applyBorder="1" applyAlignment="1"/>
    <xf numFmtId="0" fontId="7" fillId="0" borderId="0" xfId="0" applyFont="1" applyAlignment="1"/>
    <xf numFmtId="0" fontId="5" fillId="0" borderId="2" xfId="0" applyFont="1" applyBorder="1" applyAlignment="1"/>
    <xf numFmtId="0" fontId="5" fillId="0" borderId="2" xfId="0" applyFont="1" applyBorder="1" applyAlignment="1">
      <alignment horizontal="left"/>
    </xf>
    <xf numFmtId="9" fontId="4" fillId="0" borderId="2" xfId="0" applyNumberFormat="1" applyFont="1" applyBorder="1"/>
    <xf numFmtId="164" fontId="4" fillId="0" borderId="2" xfId="6" applyNumberFormat="1" applyFont="1" applyBorder="1"/>
    <xf numFmtId="164" fontId="5" fillId="0" borderId="2" xfId="6" applyNumberFormat="1" applyFont="1" applyBorder="1" applyAlignment="1">
      <alignment horizontal="right"/>
    </xf>
    <xf numFmtId="164" fontId="5" fillId="3" borderId="2" xfId="6" applyNumberFormat="1" applyFont="1" applyFill="1" applyBorder="1"/>
    <xf numFmtId="164" fontId="5" fillId="3" borderId="2" xfId="6" applyNumberFormat="1" applyFont="1" applyFill="1" applyBorder="1" applyAlignment="1">
      <alignment horizontal="right"/>
    </xf>
    <xf numFmtId="164" fontId="4" fillId="0" borderId="2" xfId="6" applyNumberFormat="1" applyFont="1" applyBorder="1" applyAlignment="1">
      <alignment horizontal="right"/>
    </xf>
    <xf numFmtId="164" fontId="4" fillId="0" borderId="0" xfId="6" applyNumberFormat="1" applyFont="1"/>
    <xf numFmtId="43" fontId="4" fillId="0" borderId="2" xfId="6" applyFont="1" applyBorder="1" applyAlignment="1">
      <alignment horizontal="center" vertical="center"/>
    </xf>
    <xf numFmtId="164" fontId="7" fillId="0" borderId="2" xfId="6" applyNumberFormat="1" applyFont="1" applyBorder="1"/>
    <xf numFmtId="164" fontId="6" fillId="0" borderId="2" xfId="6" applyNumberFormat="1" applyFont="1" applyBorder="1" applyAlignment="1">
      <alignment horizontal="right"/>
    </xf>
    <xf numFmtId="164" fontId="4" fillId="0" borderId="2" xfId="6" quotePrefix="1" applyNumberFormat="1" applyFont="1" applyBorder="1"/>
    <xf numFmtId="164" fontId="7" fillId="0" borderId="2" xfId="6" applyNumberFormat="1" applyFont="1" applyBorder="1" applyAlignment="1">
      <alignment horizontal="right"/>
    </xf>
    <xf numFmtId="9" fontId="7" fillId="0" borderId="0" xfId="2" applyFont="1" applyBorder="1" applyAlignment="1">
      <alignment horizontal="right"/>
    </xf>
    <xf numFmtId="0" fontId="5" fillId="0" borderId="1" xfId="0" applyFont="1" applyBorder="1"/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44" fontId="7" fillId="0" borderId="2" xfId="5" applyFont="1" applyFill="1" applyBorder="1" applyAlignment="1">
      <alignment wrapText="1"/>
    </xf>
    <xf numFmtId="44" fontId="4" fillId="0" borderId="0" xfId="5" applyFont="1"/>
    <xf numFmtId="1" fontId="4" fillId="0" borderId="2" xfId="5" applyNumberFormat="1" applyFont="1" applyBorder="1"/>
    <xf numFmtId="0" fontId="4" fillId="0" borderId="1" xfId="0" applyFont="1" applyBorder="1"/>
    <xf numFmtId="0" fontId="5" fillId="3" borderId="1" xfId="1" applyFont="1" applyFill="1" applyBorder="1"/>
    <xf numFmtId="0" fontId="5" fillId="3" borderId="2" xfId="1" applyFont="1" applyFill="1" applyBorder="1"/>
    <xf numFmtId="10" fontId="5" fillId="3" borderId="1" xfId="0" applyNumberFormat="1" applyFont="1" applyFill="1" applyBorder="1"/>
    <xf numFmtId="10" fontId="5" fillId="3" borderId="2" xfId="0" applyNumberFormat="1" applyFont="1" applyFill="1" applyBorder="1"/>
    <xf numFmtId="9" fontId="5" fillId="3" borderId="2" xfId="0" applyNumberFormat="1" applyFont="1" applyFill="1" applyBorder="1"/>
    <xf numFmtId="3" fontId="4" fillId="0" borderId="1" xfId="0" applyNumberFormat="1" applyFont="1" applyBorder="1"/>
    <xf numFmtId="0" fontId="4" fillId="0" borderId="4" xfId="0" applyFont="1" applyBorder="1" applyAlignment="1">
      <alignment wrapText="1"/>
    </xf>
    <xf numFmtId="0" fontId="4" fillId="0" borderId="17" xfId="0" applyFont="1" applyBorder="1"/>
    <xf numFmtId="0" fontId="4" fillId="0" borderId="5" xfId="0" applyFont="1" applyBorder="1" applyAlignment="1">
      <alignment wrapText="1"/>
    </xf>
    <xf numFmtId="0" fontId="5" fillId="0" borderId="17" xfId="0" applyFont="1" applyBorder="1"/>
    <xf numFmtId="164" fontId="4" fillId="0" borderId="18" xfId="6" applyNumberFormat="1" applyFont="1" applyBorder="1"/>
    <xf numFmtId="1" fontId="4" fillId="0" borderId="0" xfId="0" applyNumberFormat="1" applyFont="1"/>
    <xf numFmtId="0" fontId="5" fillId="0" borderId="2" xfId="0" applyFont="1" applyBorder="1" applyAlignment="1">
      <alignment wrapText="1"/>
    </xf>
    <xf numFmtId="0" fontId="4" fillId="0" borderId="5" xfId="0" applyFont="1" applyBorder="1"/>
    <xf numFmtId="0" fontId="4" fillId="4" borderId="2" xfId="0" applyFont="1" applyFill="1" applyBorder="1"/>
    <xf numFmtId="3" fontId="4" fillId="0" borderId="0" xfId="0" applyNumberFormat="1" applyFont="1"/>
    <xf numFmtId="3" fontId="4" fillId="0" borderId="5" xfId="0" applyNumberFormat="1" applyFont="1" applyBorder="1"/>
    <xf numFmtId="3" fontId="4" fillId="4" borderId="2" xfId="0" applyNumberFormat="1" applyFont="1" applyFill="1" applyBorder="1"/>
    <xf numFmtId="3" fontId="4" fillId="0" borderId="16" xfId="0" applyNumberFormat="1" applyFont="1" applyBorder="1"/>
    <xf numFmtId="0" fontId="4" fillId="0" borderId="16" xfId="0" applyFont="1" applyBorder="1"/>
    <xf numFmtId="164" fontId="5" fillId="0" borderId="2" xfId="6" applyNumberFormat="1" applyFont="1" applyBorder="1"/>
    <xf numFmtId="3" fontId="4" fillId="0" borderId="6" xfId="0" applyNumberFormat="1" applyFont="1" applyBorder="1"/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wrapText="1"/>
    </xf>
    <xf numFmtId="0" fontId="6" fillId="3" borderId="2" xfId="0" applyFont="1" applyFill="1" applyBorder="1"/>
    <xf numFmtId="3" fontId="5" fillId="3" borderId="2" xfId="0" applyNumberFormat="1" applyFont="1" applyFill="1" applyBorder="1"/>
    <xf numFmtId="3" fontId="5" fillId="3" borderId="6" xfId="0" applyNumberFormat="1" applyFont="1" applyFill="1" applyBorder="1"/>
    <xf numFmtId="0" fontId="6" fillId="3" borderId="2" xfId="0" applyFont="1" applyFill="1" applyBorder="1" applyAlignment="1">
      <alignment vertical="center" wrapText="1"/>
    </xf>
    <xf numFmtId="166" fontId="5" fillId="3" borderId="2" xfId="0" applyNumberFormat="1" applyFont="1" applyFill="1" applyBorder="1"/>
    <xf numFmtId="166" fontId="5" fillId="3" borderId="1" xfId="0" applyNumberFormat="1" applyFont="1" applyFill="1" applyBorder="1"/>
    <xf numFmtId="0" fontId="6" fillId="0" borderId="2" xfId="0" applyFont="1" applyBorder="1" applyAlignment="1">
      <alignment vertical="center" wrapText="1"/>
    </xf>
    <xf numFmtId="3" fontId="7" fillId="0" borderId="2" xfId="0" applyNumberFormat="1" applyFont="1" applyBorder="1"/>
    <xf numFmtId="164" fontId="4" fillId="0" borderId="1" xfId="6" applyNumberFormat="1" applyFont="1" applyFill="1" applyBorder="1"/>
    <xf numFmtId="0" fontId="6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64" fontId="4" fillId="0" borderId="0" xfId="6" applyNumberFormat="1" applyFont="1" applyBorder="1"/>
    <xf numFmtId="3" fontId="7" fillId="0" borderId="0" xfId="0" applyNumberFormat="1" applyFont="1" applyAlignment="1">
      <alignment horizontal="right" wrapText="1"/>
    </xf>
    <xf numFmtId="0" fontId="4" fillId="0" borderId="8" xfId="0" applyFont="1" applyBorder="1"/>
    <xf numFmtId="14" fontId="6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/>
    <xf numFmtId="3" fontId="4" fillId="0" borderId="2" xfId="6" applyNumberFormat="1" applyFont="1" applyBorder="1"/>
    <xf numFmtId="3" fontId="10" fillId="0" borderId="2" xfId="0" applyNumberFormat="1" applyFont="1" applyBorder="1"/>
    <xf numFmtId="3" fontId="10" fillId="0" borderId="7" xfId="0" applyNumberFormat="1" applyFont="1" applyBorder="1"/>
    <xf numFmtId="164" fontId="4" fillId="0" borderId="2" xfId="6" applyNumberFormat="1" applyFont="1" applyFill="1" applyBorder="1"/>
    <xf numFmtId="1" fontId="4" fillId="0" borderId="2" xfId="0" applyNumberFormat="1" applyFont="1" applyBorder="1"/>
    <xf numFmtId="1" fontId="10" fillId="0" borderId="2" xfId="0" applyNumberFormat="1" applyFont="1" applyBorder="1" applyAlignment="1">
      <alignment horizontal="right"/>
    </xf>
    <xf numFmtId="9" fontId="4" fillId="0" borderId="2" xfId="2" applyFont="1" applyFill="1" applyBorder="1"/>
    <xf numFmtId="0" fontId="7" fillId="0" borderId="0" xfId="0" applyFont="1" applyAlignment="1">
      <alignment vertical="justify"/>
    </xf>
    <xf numFmtId="9" fontId="4" fillId="0" borderId="0" xfId="0" applyNumberFormat="1" applyFont="1"/>
    <xf numFmtId="44" fontId="4" fillId="0" borderId="2" xfId="5" applyFont="1" applyFill="1" applyBorder="1" applyAlignment="1">
      <alignment wrapText="1"/>
    </xf>
    <xf numFmtId="44" fontId="6" fillId="0" borderId="2" xfId="0" applyNumberFormat="1" applyFont="1" applyFill="1" applyBorder="1"/>
    <xf numFmtId="0" fontId="4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44" fontId="5" fillId="3" borderId="2" xfId="5" applyFont="1" applyFill="1" applyBorder="1"/>
    <xf numFmtId="0" fontId="5" fillId="0" borderId="0" xfId="0" applyFont="1" applyFill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6" fillId="0" borderId="2" xfId="6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4" fillId="0" borderId="0" xfId="0" applyFont="1" applyFill="1"/>
    <xf numFmtId="0" fontId="6" fillId="0" borderId="3" xfId="0" applyFont="1" applyFill="1" applyBorder="1"/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4" fillId="0" borderId="2" xfId="0" applyFont="1" applyFill="1" applyBorder="1"/>
    <xf numFmtId="0" fontId="4" fillId="0" borderId="6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9" fontId="5" fillId="0" borderId="2" xfId="2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9" fontId="5" fillId="0" borderId="0" xfId="2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164" fontId="4" fillId="3" borderId="2" xfId="6" applyNumberFormat="1" applyFont="1" applyFill="1" applyBorder="1"/>
    <xf numFmtId="2" fontId="4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43" fontId="4" fillId="3" borderId="2" xfId="6" applyNumberFormat="1" applyFont="1" applyFill="1" applyBorder="1"/>
    <xf numFmtId="17" fontId="4" fillId="0" borderId="2" xfId="0" applyNumberFormat="1" applyFont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4" fillId="0" borderId="2" xfId="2" applyNumberFormat="1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1" fillId="0" borderId="3" xfId="0" applyFont="1" applyBorder="1"/>
    <xf numFmtId="0" fontId="12" fillId="0" borderId="3" xfId="0" applyFont="1" applyBorder="1"/>
    <xf numFmtId="3" fontId="12" fillId="0" borderId="6" xfId="0" applyNumberFormat="1" applyFont="1" applyBorder="1"/>
    <xf numFmtId="0" fontId="13" fillId="0" borderId="0" xfId="0" applyFont="1"/>
    <xf numFmtId="3" fontId="4" fillId="0" borderId="7" xfId="0" applyNumberFormat="1" applyFont="1" applyBorder="1"/>
    <xf numFmtId="3" fontId="10" fillId="0" borderId="1" xfId="0" applyNumberFormat="1" applyFont="1" applyBorder="1"/>
    <xf numFmtId="164" fontId="4" fillId="0" borderId="2" xfId="6" applyNumberFormat="1" applyFont="1" applyBorder="1" applyAlignment="1">
      <alignment horizontal="right" wrapText="1"/>
    </xf>
    <xf numFmtId="9" fontId="4" fillId="0" borderId="5" xfId="2" applyFont="1" applyBorder="1"/>
    <xf numFmtId="3" fontId="10" fillId="0" borderId="0" xfId="0" applyNumberFormat="1" applyFont="1"/>
    <xf numFmtId="3" fontId="6" fillId="0" borderId="2" xfId="0" applyNumberFormat="1" applyFont="1" applyBorder="1"/>
    <xf numFmtId="3" fontId="5" fillId="0" borderId="2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 applyAlignment="1">
      <alignment horizontal="right" wrapText="1"/>
    </xf>
    <xf numFmtId="9" fontId="5" fillId="0" borderId="5" xfId="2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6" fillId="0" borderId="2" xfId="0" applyFont="1" applyBorder="1" applyAlignment="1">
      <alignment horizontal="left"/>
    </xf>
    <xf numFmtId="9" fontId="7" fillId="0" borderId="2" xfId="2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3" fontId="10" fillId="0" borderId="2" xfId="0" applyNumberFormat="1" applyFont="1" applyBorder="1" applyAlignment="1">
      <alignment horizontal="right" wrapText="1"/>
    </xf>
    <xf numFmtId="2" fontId="10" fillId="0" borderId="2" xfId="0" applyNumberFormat="1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/>
    </xf>
    <xf numFmtId="3" fontId="14" fillId="3" borderId="2" xfId="0" applyNumberFormat="1" applyFont="1" applyFill="1" applyBorder="1" applyAlignment="1">
      <alignment horizontal="right" wrapText="1"/>
    </xf>
    <xf numFmtId="3" fontId="14" fillId="3" borderId="2" xfId="0" applyNumberFormat="1" applyFont="1" applyFill="1" applyBorder="1"/>
    <xf numFmtId="2" fontId="14" fillId="3" borderId="2" xfId="0" applyNumberFormat="1" applyFont="1" applyFill="1" applyBorder="1" applyAlignment="1">
      <alignment horizontal="right" wrapText="1"/>
    </xf>
    <xf numFmtId="2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4" fontId="10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wrapText="1"/>
    </xf>
    <xf numFmtId="0" fontId="13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3" fontId="6" fillId="0" borderId="2" xfId="0" applyNumberFormat="1" applyFont="1" applyBorder="1" applyAlignment="1">
      <alignment horizontal="center" wrapText="1"/>
    </xf>
    <xf numFmtId="0" fontId="7" fillId="4" borderId="2" xfId="0" applyFont="1" applyFill="1" applyBorder="1"/>
    <xf numFmtId="0" fontId="7" fillId="4" borderId="2" xfId="0" applyFont="1" applyFill="1" applyBorder="1" applyAlignment="1">
      <alignment wrapText="1"/>
    </xf>
    <xf numFmtId="1" fontId="7" fillId="4" borderId="2" xfId="0" applyNumberFormat="1" applyFont="1" applyFill="1" applyBorder="1" applyAlignment="1">
      <alignment wrapText="1"/>
    </xf>
    <xf numFmtId="3" fontId="6" fillId="0" borderId="2" xfId="0" applyNumberFormat="1" applyFont="1" applyFill="1" applyBorder="1"/>
    <xf numFmtId="0" fontId="7" fillId="0" borderId="2" xfId="0" applyFont="1" applyBorder="1" applyAlignment="1">
      <alignment wrapText="1"/>
    </xf>
    <xf numFmtId="1" fontId="7" fillId="0" borderId="2" xfId="0" applyNumberFormat="1" applyFont="1" applyBorder="1" applyAlignment="1">
      <alignment wrapText="1"/>
    </xf>
    <xf numFmtId="1" fontId="7" fillId="4" borderId="2" xfId="0" applyNumberFormat="1" applyFont="1" applyFill="1" applyBorder="1"/>
    <xf numFmtId="1" fontId="7" fillId="0" borderId="2" xfId="0" applyNumberFormat="1" applyFont="1" applyBorder="1"/>
    <xf numFmtId="3" fontId="6" fillId="0" borderId="0" xfId="0" applyNumberFormat="1" applyFont="1" applyAlignment="1">
      <alignment horizontal="left" wrapText="1"/>
    </xf>
    <xf numFmtId="0" fontId="15" fillId="0" borderId="2" xfId="0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0" fontId="7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/>
    <xf numFmtId="3" fontId="6" fillId="0" borderId="0" xfId="0" applyNumberFormat="1" applyFont="1" applyFill="1"/>
    <xf numFmtId="3" fontId="6" fillId="0" borderId="0" xfId="0" applyNumberFormat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3" fontId="6" fillId="0" borderId="0" xfId="0" applyNumberFormat="1" applyFont="1" applyFill="1" applyAlignment="1">
      <alignment horizontal="left" wrapText="1"/>
    </xf>
    <xf numFmtId="3" fontId="6" fillId="0" borderId="1" xfId="0" applyNumberFormat="1" applyFont="1" applyFill="1" applyBorder="1"/>
    <xf numFmtId="3" fontId="6" fillId="0" borderId="13" xfId="0" applyNumberFormat="1" applyFont="1" applyBorder="1"/>
    <xf numFmtId="3" fontId="6" fillId="0" borderId="1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3" fontId="4" fillId="0" borderId="0" xfId="0" applyNumberFormat="1" applyFont="1" applyFill="1"/>
    <xf numFmtId="0" fontId="7" fillId="0" borderId="1" xfId="0" applyFont="1" applyFill="1" applyBorder="1"/>
    <xf numFmtId="3" fontId="7" fillId="0" borderId="13" xfId="0" applyNumberFormat="1" applyFont="1" applyFill="1" applyBorder="1"/>
    <xf numFmtId="0" fontId="7" fillId="0" borderId="13" xfId="0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center" wrapText="1"/>
    </xf>
    <xf numFmtId="165" fontId="6" fillId="0" borderId="6" xfId="0" applyNumberFormat="1" applyFont="1" applyFill="1" applyBorder="1" applyAlignment="1">
      <alignment wrapText="1"/>
    </xf>
    <xf numFmtId="3" fontId="6" fillId="0" borderId="13" xfId="0" applyNumberFormat="1" applyFont="1" applyFill="1" applyBorder="1"/>
    <xf numFmtId="3" fontId="6" fillId="0" borderId="1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/>
    <xf numFmtId="3" fontId="6" fillId="0" borderId="0" xfId="0" applyNumberFormat="1" applyFont="1" applyAlignment="1">
      <alignment horizontal="right"/>
    </xf>
    <xf numFmtId="0" fontId="6" fillId="0" borderId="3" xfId="0" applyFont="1" applyBorder="1" applyAlignment="1"/>
    <xf numFmtId="0" fontId="4" fillId="0" borderId="3" xfId="0" applyFont="1" applyBorder="1" applyAlignment="1"/>
    <xf numFmtId="0" fontId="6" fillId="0" borderId="1" xfId="0" applyFont="1" applyBorder="1" applyAlignment="1"/>
    <xf numFmtId="17" fontId="6" fillId="0" borderId="2" xfId="0" applyNumberFormat="1" applyFont="1" applyBorder="1" applyAlignment="1">
      <alignment horizontal="right"/>
    </xf>
    <xf numFmtId="17" fontId="6" fillId="3" borderId="2" xfId="0" applyNumberFormat="1" applyFont="1" applyFill="1" applyBorder="1" applyAlignment="1">
      <alignment horizontal="right"/>
    </xf>
    <xf numFmtId="17" fontId="4" fillId="0" borderId="1" xfId="0" applyNumberFormat="1" applyFont="1" applyBorder="1" applyAlignment="1"/>
    <xf numFmtId="0" fontId="4" fillId="3" borderId="2" xfId="0" applyFont="1" applyFill="1" applyBorder="1" applyAlignment="1"/>
    <xf numFmtId="9" fontId="4" fillId="0" borderId="2" xfId="2" applyFont="1" applyFill="1" applyBorder="1" applyAlignment="1"/>
    <xf numFmtId="17" fontId="9" fillId="0" borderId="1" xfId="0" applyNumberFormat="1" applyFont="1" applyBorder="1" applyAlignment="1"/>
    <xf numFmtId="0" fontId="9" fillId="3" borderId="2" xfId="0" applyFont="1" applyFill="1" applyBorder="1" applyAlignment="1"/>
    <xf numFmtId="17" fontId="7" fillId="0" borderId="1" xfId="0" applyNumberFormat="1" applyFont="1" applyBorder="1" applyAlignment="1"/>
    <xf numFmtId="17" fontId="6" fillId="0" borderId="1" xfId="0" applyNumberFormat="1" applyFont="1" applyBorder="1" applyAlignment="1"/>
    <xf numFmtId="0" fontId="5" fillId="3" borderId="2" xfId="0" applyFont="1" applyFill="1" applyBorder="1" applyAlignment="1"/>
    <xf numFmtId="0" fontId="4" fillId="0" borderId="2" xfId="0" applyFont="1" applyBorder="1" applyAlignment="1">
      <alignment horizontal="left"/>
    </xf>
    <xf numFmtId="0" fontId="16" fillId="0" borderId="2" xfId="0" applyFont="1" applyBorder="1" applyAlignment="1">
      <alignment horizontal="right" wrapText="1"/>
    </xf>
    <xf numFmtId="0" fontId="16" fillId="0" borderId="2" xfId="0" applyFont="1" applyBorder="1" applyAlignment="1">
      <alignment horizontal="right"/>
    </xf>
    <xf numFmtId="1" fontId="16" fillId="3" borderId="2" xfId="0" applyNumberFormat="1" applyFont="1" applyFill="1" applyBorder="1" applyAlignment="1">
      <alignment wrapText="1"/>
    </xf>
    <xf numFmtId="0" fontId="16" fillId="0" borderId="0" xfId="0" applyFont="1" applyAlignment="1">
      <alignment horizontal="right" wrapText="1"/>
    </xf>
    <xf numFmtId="0" fontId="17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right" wrapText="1"/>
    </xf>
    <xf numFmtId="0" fontId="17" fillId="0" borderId="2" xfId="0" applyFont="1" applyBorder="1" applyAlignment="1">
      <alignment horizontal="right"/>
    </xf>
    <xf numFmtId="0" fontId="17" fillId="3" borderId="2" xfId="0" applyFont="1" applyFill="1" applyBorder="1" applyAlignment="1">
      <alignment horizontal="right" wrapText="1"/>
    </xf>
    <xf numFmtId="0" fontId="17" fillId="0" borderId="11" xfId="0" applyFont="1" applyBorder="1" applyAlignment="1">
      <alignment horizontal="left"/>
    </xf>
    <xf numFmtId="0" fontId="16" fillId="0" borderId="11" xfId="0" applyFont="1" applyBorder="1" applyAlignment="1">
      <alignment horizontal="right"/>
    </xf>
    <xf numFmtId="0" fontId="17" fillId="0" borderId="14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15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6" fillId="0" borderId="10" xfId="0" applyFont="1" applyBorder="1" applyAlignment="1">
      <alignment horizontal="right" wrapText="1"/>
    </xf>
    <xf numFmtId="0" fontId="16" fillId="0" borderId="9" xfId="0" applyFont="1" applyBorder="1" applyAlignment="1">
      <alignment horizontal="right"/>
    </xf>
    <xf numFmtId="0" fontId="11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 applyAlignment="1"/>
    <xf numFmtId="0" fontId="11" fillId="0" borderId="0" xfId="0" applyFont="1" applyAlignment="1">
      <alignment horizontal="left" wrapText="1"/>
    </xf>
    <xf numFmtId="0" fontId="8" fillId="0" borderId="0" xfId="0" applyFont="1"/>
    <xf numFmtId="0" fontId="14" fillId="0" borderId="0" xfId="0" applyFont="1"/>
    <xf numFmtId="0" fontId="10" fillId="0" borderId="0" xfId="0" applyFont="1"/>
    <xf numFmtId="0" fontId="10" fillId="0" borderId="2" xfId="0" applyFont="1" applyBorder="1"/>
    <xf numFmtId="0" fontId="14" fillId="0" borderId="2" xfId="0" applyFont="1" applyBorder="1"/>
    <xf numFmtId="0" fontId="10" fillId="3" borderId="2" xfId="0" applyFont="1" applyFill="1" applyBorder="1"/>
    <xf numFmtId="0" fontId="14" fillId="3" borderId="2" xfId="0" applyFont="1" applyFill="1" applyBorder="1"/>
    <xf numFmtId="164" fontId="4" fillId="0" borderId="0" xfId="6" applyNumberFormat="1" applyFont="1" applyFill="1"/>
  </cellXfs>
  <cellStyles count="7">
    <cellStyle name="Comma" xfId="6" builtinId="3"/>
    <cellStyle name="Comma 2" xfId="4" xr:uid="{00000000-0005-0000-0000-000000000000}"/>
    <cellStyle name="Currency" xfId="5" builtinId="4"/>
    <cellStyle name="Normal" xfId="0" builtinId="0"/>
    <cellStyle name="Normal 2" xfId="3" xr:uid="{00000000-0005-0000-0000-000003000000}"/>
    <cellStyle name="Percent" xfId="2" builtinId="5"/>
    <cellStyle name="RowLevel_1" xfId="1" builtinId="1" iLevel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Gate</a:t>
            </a:r>
            <a:r>
              <a:rPr lang="en-US" baseline="0">
                <a:latin typeface="Arial" panose="020B0604020202020204" pitchFamily="34" charset="0"/>
                <a:cs typeface="Arial" panose="020B0604020202020204" pitchFamily="34" charset="0"/>
              </a:rPr>
              <a:t> Count 2019-20 to 2022-23</a:t>
            </a:r>
            <a:endParaRPr lang="en-US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5548030854369E-2"/>
          <c:y val="0.13005405405405407"/>
          <c:w val="0.93855104370750508"/>
          <c:h val="0.70031212314676883"/>
        </c:manualLayout>
      </c:layout>
      <c:lineChart>
        <c:grouping val="standard"/>
        <c:varyColors val="0"/>
        <c:ser>
          <c:idx val="9"/>
          <c:order val="9"/>
          <c:tx>
            <c:strRef>
              <c:f>'Library Visits'!$K$3</c:f>
              <c:strCache>
                <c:ptCount val="1"/>
                <c:pt idx="0">
                  <c:v>2019-20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Visits'!$K$4:$K$15</c:f>
              <c:numCache>
                <c:formatCode>#,##0</c:formatCode>
                <c:ptCount val="12"/>
                <c:pt idx="0">
                  <c:v>3363</c:v>
                </c:pt>
                <c:pt idx="1">
                  <c:v>12682</c:v>
                </c:pt>
                <c:pt idx="2">
                  <c:v>26129</c:v>
                </c:pt>
                <c:pt idx="3">
                  <c:v>37649</c:v>
                </c:pt>
                <c:pt idx="4">
                  <c:v>29822</c:v>
                </c:pt>
                <c:pt idx="5">
                  <c:v>17581</c:v>
                </c:pt>
                <c:pt idx="6">
                  <c:v>17872</c:v>
                </c:pt>
                <c:pt idx="7">
                  <c:v>29043</c:v>
                </c:pt>
                <c:pt idx="8">
                  <c:v>9611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8B-4C7D-A3D9-77423E707E6A}"/>
            </c:ext>
          </c:extLst>
        </c:ser>
        <c:ser>
          <c:idx val="10"/>
          <c:order val="10"/>
          <c:tx>
            <c:strRef>
              <c:f>'Library Visits'!$L$3</c:f>
              <c:strCache>
                <c:ptCount val="1"/>
                <c:pt idx="0">
                  <c:v>2020-21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Visits'!$L$4:$L$15</c:f>
              <c:numCache>
                <c:formatCode>#,##0</c:formatCode>
                <c:ptCount val="12"/>
                <c:pt idx="0">
                  <c:v>0</c:v>
                </c:pt>
                <c:pt idx="1">
                  <c:v>4973</c:v>
                </c:pt>
                <c:pt idx="2">
                  <c:v>5666</c:v>
                </c:pt>
                <c:pt idx="3">
                  <c:v>5454</c:v>
                </c:pt>
                <c:pt idx="4">
                  <c:v>4123</c:v>
                </c:pt>
                <c:pt idx="5">
                  <c:v>424</c:v>
                </c:pt>
                <c:pt idx="6">
                  <c:v>3091</c:v>
                </c:pt>
                <c:pt idx="7">
                  <c:v>4692</c:v>
                </c:pt>
                <c:pt idx="8">
                  <c:v>4801</c:v>
                </c:pt>
                <c:pt idx="9">
                  <c:v>4952</c:v>
                </c:pt>
                <c:pt idx="10">
                  <c:v>1964</c:v>
                </c:pt>
                <c:pt idx="11">
                  <c:v>1676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8B-4C7D-A3D9-77423E707E6A}"/>
            </c:ext>
          </c:extLst>
        </c:ser>
        <c:ser>
          <c:idx val="11"/>
          <c:order val="11"/>
          <c:tx>
            <c:strRef>
              <c:f>'Library Visits'!$M$3</c:f>
              <c:strCache>
                <c:ptCount val="1"/>
                <c:pt idx="0">
                  <c:v>2021-22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Visits'!$M$4:$M$15</c:f>
              <c:numCache>
                <c:formatCode>_(* #,##0_);_(* \(#,##0\);_(* "-"??_);_(@_)</c:formatCode>
                <c:ptCount val="12"/>
                <c:pt idx="0">
                  <c:v>1767</c:v>
                </c:pt>
                <c:pt idx="1">
                  <c:v>8242</c:v>
                </c:pt>
                <c:pt idx="2">
                  <c:v>14811</c:v>
                </c:pt>
                <c:pt idx="3">
                  <c:v>13359</c:v>
                </c:pt>
                <c:pt idx="4">
                  <c:v>11459</c:v>
                </c:pt>
                <c:pt idx="5">
                  <c:v>5626</c:v>
                </c:pt>
                <c:pt idx="6">
                  <c:v>8621</c:v>
                </c:pt>
                <c:pt idx="7">
                  <c:v>11403</c:v>
                </c:pt>
                <c:pt idx="8">
                  <c:v>12332</c:v>
                </c:pt>
                <c:pt idx="9">
                  <c:v>14393</c:v>
                </c:pt>
                <c:pt idx="10">
                  <c:v>3761</c:v>
                </c:pt>
                <c:pt idx="11">
                  <c:v>3504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49-45EE-AD44-DD3CB19B14E9}"/>
            </c:ext>
          </c:extLst>
        </c:ser>
        <c:ser>
          <c:idx val="12"/>
          <c:order val="12"/>
          <c:tx>
            <c:strRef>
              <c:f>'Library Visits'!$N$3</c:f>
              <c:strCache>
                <c:ptCount val="1"/>
                <c:pt idx="0">
                  <c:v>2022-23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'Library Visits'!$A$4:$A$15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'Library Visits'!$N$4:$N$15</c:f>
              <c:numCache>
                <c:formatCode>#,##0</c:formatCode>
                <c:ptCount val="12"/>
                <c:pt idx="0">
                  <c:v>2685</c:v>
                </c:pt>
                <c:pt idx="1">
                  <c:v>11045</c:v>
                </c:pt>
                <c:pt idx="2">
                  <c:v>14601</c:v>
                </c:pt>
                <c:pt idx="3">
                  <c:v>15794</c:v>
                </c:pt>
                <c:pt idx="4">
                  <c:v>13311</c:v>
                </c:pt>
                <c:pt idx="5">
                  <c:v>6663</c:v>
                </c:pt>
                <c:pt idx="6">
                  <c:v>10989</c:v>
                </c:pt>
                <c:pt idx="7">
                  <c:v>12067</c:v>
                </c:pt>
                <c:pt idx="8">
                  <c:v>13596</c:v>
                </c:pt>
                <c:pt idx="9">
                  <c:v>14700</c:v>
                </c:pt>
                <c:pt idx="10">
                  <c:v>3488</c:v>
                </c:pt>
                <c:pt idx="11">
                  <c:v>3792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9-45EE-AD44-DD3CB19B1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79952"/>
        <c:axId val="444680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'Library Visits'!$B$3</c15:sqref>
                        </c15:formulaRef>
                      </c:ext>
                    </c:extLst>
                    <c:strCache>
                      <c:ptCount val="1"/>
                      <c:pt idx="0">
                        <c:v>2010-11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'Library Visits'!$B$4:$B$15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1625</c:v>
                      </c:pt>
                      <c:pt idx="1">
                        <c:v>12826</c:v>
                      </c:pt>
                      <c:pt idx="2">
                        <c:v>20658</c:v>
                      </c:pt>
                      <c:pt idx="3">
                        <c:v>23174</c:v>
                      </c:pt>
                      <c:pt idx="4">
                        <c:v>21518</c:v>
                      </c:pt>
                      <c:pt idx="5">
                        <c:v>11684</c:v>
                      </c:pt>
                      <c:pt idx="6">
                        <c:v>12408</c:v>
                      </c:pt>
                      <c:pt idx="7">
                        <c:v>20442</c:v>
                      </c:pt>
                      <c:pt idx="8">
                        <c:v>20179</c:v>
                      </c:pt>
                      <c:pt idx="9">
                        <c:v>25292</c:v>
                      </c:pt>
                      <c:pt idx="10">
                        <c:v>10211</c:v>
                      </c:pt>
                      <c:pt idx="11">
                        <c:v>4795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DB4A-4115-B488-8317E2B38D6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Visits'!$C$3</c15:sqref>
                        </c15:formulaRef>
                      </c:ext>
                    </c:extLst>
                    <c:strCache>
                      <c:ptCount val="1"/>
                      <c:pt idx="0">
                        <c:v>2011-12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Visits'!$C$4:$C$15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1718</c:v>
                      </c:pt>
                      <c:pt idx="1">
                        <c:v>10536</c:v>
                      </c:pt>
                      <c:pt idx="2">
                        <c:v>23638</c:v>
                      </c:pt>
                      <c:pt idx="3">
                        <c:v>24452</c:v>
                      </c:pt>
                      <c:pt idx="4">
                        <c:v>23961</c:v>
                      </c:pt>
                      <c:pt idx="5">
                        <c:v>16752</c:v>
                      </c:pt>
                      <c:pt idx="6">
                        <c:v>13299</c:v>
                      </c:pt>
                      <c:pt idx="7">
                        <c:v>25939</c:v>
                      </c:pt>
                      <c:pt idx="8">
                        <c:v>19954</c:v>
                      </c:pt>
                      <c:pt idx="9">
                        <c:v>26737</c:v>
                      </c:pt>
                      <c:pt idx="10">
                        <c:v>12033</c:v>
                      </c:pt>
                      <c:pt idx="11">
                        <c:v>4055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B4A-4115-B488-8317E2B38D6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Visits'!$D$3</c15:sqref>
                        </c15:formulaRef>
                      </c:ext>
                    </c:extLst>
                    <c:strCache>
                      <c:ptCount val="1"/>
                      <c:pt idx="0">
                        <c:v>2012-13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Visits'!$D$4:$D$15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2445</c:v>
                      </c:pt>
                      <c:pt idx="1">
                        <c:v>13422</c:v>
                      </c:pt>
                      <c:pt idx="2">
                        <c:v>26680</c:v>
                      </c:pt>
                      <c:pt idx="3">
                        <c:v>29248</c:v>
                      </c:pt>
                      <c:pt idx="4">
                        <c:v>24303</c:v>
                      </c:pt>
                      <c:pt idx="5">
                        <c:v>17415</c:v>
                      </c:pt>
                      <c:pt idx="6">
                        <c:v>16129</c:v>
                      </c:pt>
                      <c:pt idx="7">
                        <c:v>25554</c:v>
                      </c:pt>
                      <c:pt idx="8">
                        <c:v>18638</c:v>
                      </c:pt>
                      <c:pt idx="9">
                        <c:v>29919</c:v>
                      </c:pt>
                      <c:pt idx="10">
                        <c:v>10547</c:v>
                      </c:pt>
                      <c:pt idx="11">
                        <c:v>4445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B4A-4115-B488-8317E2B38D6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Visits'!$E$3</c15:sqref>
                        </c15:formulaRef>
                      </c:ext>
                    </c:extLst>
                    <c:strCache>
                      <c:ptCount val="1"/>
                      <c:pt idx="0">
                        <c:v>2013-14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Visits'!$E$4:$E$15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2853</c:v>
                      </c:pt>
                      <c:pt idx="1">
                        <c:v>13673</c:v>
                      </c:pt>
                      <c:pt idx="2">
                        <c:v>29591</c:v>
                      </c:pt>
                      <c:pt idx="3">
                        <c:v>30066</c:v>
                      </c:pt>
                      <c:pt idx="4">
                        <c:v>23633</c:v>
                      </c:pt>
                      <c:pt idx="5">
                        <c:v>16531</c:v>
                      </c:pt>
                      <c:pt idx="6">
                        <c:v>16495</c:v>
                      </c:pt>
                      <c:pt idx="7">
                        <c:v>26660</c:v>
                      </c:pt>
                      <c:pt idx="8">
                        <c:v>21683</c:v>
                      </c:pt>
                      <c:pt idx="9">
                        <c:v>32147</c:v>
                      </c:pt>
                      <c:pt idx="10">
                        <c:v>8219</c:v>
                      </c:pt>
                      <c:pt idx="11">
                        <c:v>4361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B4A-4115-B488-8317E2B38D6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Visits'!$F$3</c15:sqref>
                        </c15:formulaRef>
                      </c:ext>
                    </c:extLst>
                    <c:strCache>
                      <c:ptCount val="1"/>
                      <c:pt idx="0">
                        <c:v>2014-15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Visits'!$F$4:$F$15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3427</c:v>
                      </c:pt>
                      <c:pt idx="1">
                        <c:v>13530</c:v>
                      </c:pt>
                      <c:pt idx="2">
                        <c:v>31012</c:v>
                      </c:pt>
                      <c:pt idx="3">
                        <c:v>30320</c:v>
                      </c:pt>
                      <c:pt idx="4">
                        <c:v>26556</c:v>
                      </c:pt>
                      <c:pt idx="5">
                        <c:v>15551</c:v>
                      </c:pt>
                      <c:pt idx="6">
                        <c:v>16941</c:v>
                      </c:pt>
                      <c:pt idx="7">
                        <c:v>25731</c:v>
                      </c:pt>
                      <c:pt idx="8">
                        <c:v>23376</c:v>
                      </c:pt>
                      <c:pt idx="9">
                        <c:v>30320</c:v>
                      </c:pt>
                      <c:pt idx="10">
                        <c:v>7321</c:v>
                      </c:pt>
                      <c:pt idx="11">
                        <c:v>4453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B4A-4115-B488-8317E2B38D6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Visits'!$G$3</c15:sqref>
                        </c15:formulaRef>
                      </c:ext>
                    </c:extLst>
                    <c:strCache>
                      <c:ptCount val="1"/>
                      <c:pt idx="0">
                        <c:v>2015-16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Visits'!$G$4:$G$15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3506</c:v>
                      </c:pt>
                      <c:pt idx="1">
                        <c:v>20050</c:v>
                      </c:pt>
                      <c:pt idx="2">
                        <c:v>33538</c:v>
                      </c:pt>
                      <c:pt idx="3">
                        <c:v>33791</c:v>
                      </c:pt>
                      <c:pt idx="4">
                        <c:v>30869</c:v>
                      </c:pt>
                      <c:pt idx="5">
                        <c:v>16096</c:v>
                      </c:pt>
                      <c:pt idx="6">
                        <c:v>19271</c:v>
                      </c:pt>
                      <c:pt idx="7">
                        <c:v>29730</c:v>
                      </c:pt>
                      <c:pt idx="8">
                        <c:v>29158</c:v>
                      </c:pt>
                      <c:pt idx="9">
                        <c:v>37159</c:v>
                      </c:pt>
                      <c:pt idx="10">
                        <c:v>6424</c:v>
                      </c:pt>
                      <c:pt idx="11">
                        <c:v>3273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B4A-4115-B488-8317E2B38D6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Visits'!$H$3</c15:sqref>
                        </c15:formulaRef>
                      </c:ext>
                    </c:extLst>
                    <c:strCache>
                      <c:ptCount val="1"/>
                      <c:pt idx="0">
                        <c:v>2016-17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Visits'!$H$4:$H$15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3392</c:v>
                      </c:pt>
                      <c:pt idx="1">
                        <c:v>13096</c:v>
                      </c:pt>
                      <c:pt idx="2">
                        <c:v>36026</c:v>
                      </c:pt>
                      <c:pt idx="3">
                        <c:v>29537</c:v>
                      </c:pt>
                      <c:pt idx="4">
                        <c:v>34023</c:v>
                      </c:pt>
                      <c:pt idx="5">
                        <c:v>21512</c:v>
                      </c:pt>
                      <c:pt idx="6">
                        <c:v>16654</c:v>
                      </c:pt>
                      <c:pt idx="7">
                        <c:v>31949</c:v>
                      </c:pt>
                      <c:pt idx="8">
                        <c:v>27959</c:v>
                      </c:pt>
                      <c:pt idx="9">
                        <c:v>32727</c:v>
                      </c:pt>
                      <c:pt idx="10">
                        <c:v>17041</c:v>
                      </c:pt>
                      <c:pt idx="11">
                        <c:v>4431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B4A-4115-B488-8317E2B38D6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Visits'!$I$3</c15:sqref>
                        </c15:formulaRef>
                      </c:ext>
                    </c:extLst>
                    <c:strCache>
                      <c:ptCount val="1"/>
                      <c:pt idx="0">
                        <c:v>2017-18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Visits'!$I$4:$I$15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3653</c:v>
                      </c:pt>
                      <c:pt idx="1">
                        <c:v>13479</c:v>
                      </c:pt>
                      <c:pt idx="2">
                        <c:v>23551</c:v>
                      </c:pt>
                      <c:pt idx="3">
                        <c:v>38209</c:v>
                      </c:pt>
                      <c:pt idx="4">
                        <c:v>33287</c:v>
                      </c:pt>
                      <c:pt idx="5">
                        <c:v>25951</c:v>
                      </c:pt>
                      <c:pt idx="6">
                        <c:v>16743</c:v>
                      </c:pt>
                      <c:pt idx="7">
                        <c:v>28193</c:v>
                      </c:pt>
                      <c:pt idx="8">
                        <c:v>21661</c:v>
                      </c:pt>
                      <c:pt idx="9">
                        <c:v>29310</c:v>
                      </c:pt>
                      <c:pt idx="10">
                        <c:v>16462</c:v>
                      </c:pt>
                      <c:pt idx="11">
                        <c:v>4374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A8B-4C7D-A3D9-77423E707E6A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Visits'!$J$3</c15:sqref>
                        </c15:formulaRef>
                      </c:ext>
                    </c:extLst>
                    <c:strCache>
                      <c:ptCount val="1"/>
                      <c:pt idx="0">
                        <c:v>2018-19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Visits'!$A$4:$A$15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 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'Library Visits'!$J$4:$J$15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2782</c:v>
                      </c:pt>
                      <c:pt idx="1">
                        <c:v>13294</c:v>
                      </c:pt>
                      <c:pt idx="2">
                        <c:v>31557</c:v>
                      </c:pt>
                      <c:pt idx="3">
                        <c:v>34902</c:v>
                      </c:pt>
                      <c:pt idx="4">
                        <c:v>30931</c:v>
                      </c:pt>
                      <c:pt idx="5">
                        <c:v>19747</c:v>
                      </c:pt>
                      <c:pt idx="6">
                        <c:v>10612</c:v>
                      </c:pt>
                      <c:pt idx="7">
                        <c:v>25793</c:v>
                      </c:pt>
                      <c:pt idx="8">
                        <c:v>22209</c:v>
                      </c:pt>
                      <c:pt idx="9">
                        <c:v>35279</c:v>
                      </c:pt>
                      <c:pt idx="10">
                        <c:v>11203</c:v>
                      </c:pt>
                      <c:pt idx="11">
                        <c:v>3544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A8B-4C7D-A3D9-77423E707E6A}"/>
                  </c:ext>
                </c:extLst>
              </c15:ser>
            </c15:filteredLineSeries>
          </c:ext>
        </c:extLst>
      </c:lineChart>
      <c:catAx>
        <c:axId val="44467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80512"/>
        <c:crosses val="autoZero"/>
        <c:auto val="1"/>
        <c:lblAlgn val="ctr"/>
        <c:lblOffset val="100"/>
        <c:noMultiLvlLbl val="0"/>
      </c:catAx>
      <c:valAx>
        <c:axId val="44468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7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Annual Visits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'Library Visits'!$B$40:$L$40</c15:sqref>
                  </c15:fullRef>
                </c:ext>
              </c:extLst>
              <c:f>'Library Visits'!$I$40:$L$40</c:f>
              <c:strCache>
                <c:ptCount val="4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'Library Visits'!$B$41:$L$41</c15:sqref>
                  </c15:fullRef>
                </c:ext>
              </c:extLst>
              <c:f>'Library Visits'!$I$41:$L$41</c:f>
              <c:numCache>
                <c:formatCode>#,##0</c:formatCode>
                <c:ptCount val="4"/>
                <c:pt idx="0">
                  <c:v>183752</c:v>
                </c:pt>
                <c:pt idx="1">
                  <c:v>41816</c:v>
                </c:pt>
                <c:pt idx="2">
                  <c:v>109287</c:v>
                </c:pt>
                <c:pt idx="3">
                  <c:v>112731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08-4560-A200-979CC30A9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83312"/>
        <c:axId val="444683872"/>
      </c:lineChart>
      <c:catAx>
        <c:axId val="44468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83872"/>
        <c:crosses val="autoZero"/>
        <c:auto val="1"/>
        <c:lblAlgn val="ctr"/>
        <c:lblOffset val="100"/>
        <c:noMultiLvlLbl val="0"/>
      </c:catAx>
      <c:valAx>
        <c:axId val="44468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68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6350</xdr:rowOff>
    </xdr:from>
    <xdr:to>
      <xdr:col>18</xdr:col>
      <xdr:colOff>38099</xdr:colOff>
      <xdr:row>36</xdr:row>
      <xdr:rowOff>53975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42</xdr:row>
      <xdr:rowOff>60324</xdr:rowOff>
    </xdr:from>
    <xdr:to>
      <xdr:col>17</xdr:col>
      <xdr:colOff>514350</xdr:colOff>
      <xdr:row>57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workbookViewId="0">
      <selection activeCell="H15" sqref="H15"/>
    </sheetView>
  </sheetViews>
  <sheetFormatPr defaultRowHeight="14" x14ac:dyDescent="0.3"/>
  <cols>
    <col min="1" max="1" width="20.08984375" style="94" customWidth="1"/>
    <col min="2" max="3" width="8.54296875" style="94" customWidth="1"/>
    <col min="4" max="6" width="8.1796875" style="94" customWidth="1"/>
    <col min="7" max="8" width="8.453125" style="94" customWidth="1"/>
    <col min="9" max="9" width="10.08984375" style="94" customWidth="1"/>
    <col min="10" max="10" width="9.6328125" style="94" bestFit="1" customWidth="1"/>
    <col min="11" max="16384" width="8.7265625" style="94"/>
  </cols>
  <sheetData>
    <row r="1" spans="1:10" s="346" customFormat="1" ht="15.5" x14ac:dyDescent="0.35">
      <c r="A1" s="344" t="s">
        <v>256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x14ac:dyDescent="0.3">
      <c r="A2" s="312"/>
      <c r="B2" s="313"/>
      <c r="C2" s="313"/>
      <c r="D2" s="313"/>
      <c r="E2" s="313"/>
      <c r="F2" s="313"/>
      <c r="G2" s="313"/>
      <c r="H2" s="313"/>
      <c r="I2" s="313"/>
    </row>
    <row r="3" spans="1:10" x14ac:dyDescent="0.3">
      <c r="A3" s="314"/>
      <c r="B3" s="315" t="s">
        <v>127</v>
      </c>
      <c r="C3" s="315" t="s">
        <v>139</v>
      </c>
      <c r="D3" s="315" t="s">
        <v>157</v>
      </c>
      <c r="E3" s="315" t="s">
        <v>170</v>
      </c>
      <c r="F3" s="315" t="s">
        <v>181</v>
      </c>
      <c r="G3" s="9" t="s">
        <v>205</v>
      </c>
      <c r="H3" s="316" t="s">
        <v>233</v>
      </c>
      <c r="I3" s="315" t="s">
        <v>0</v>
      </c>
    </row>
    <row r="4" spans="1:10" x14ac:dyDescent="0.3">
      <c r="A4" s="317" t="s">
        <v>1</v>
      </c>
      <c r="B4" s="95">
        <v>641</v>
      </c>
      <c r="C4" s="95">
        <v>319</v>
      </c>
      <c r="D4" s="95">
        <v>338</v>
      </c>
      <c r="E4" s="95">
        <v>227</v>
      </c>
      <c r="F4" s="95">
        <v>169</v>
      </c>
      <c r="G4" s="95">
        <v>192</v>
      </c>
      <c r="H4" s="318">
        <v>159</v>
      </c>
      <c r="I4" s="319">
        <f t="shared" ref="I4:I5" si="0">SUM(H4-G4)/G4</f>
        <v>-0.171875</v>
      </c>
    </row>
    <row r="5" spans="1:10" x14ac:dyDescent="0.3">
      <c r="A5" s="317" t="s">
        <v>2</v>
      </c>
      <c r="B5" s="95">
        <v>128</v>
      </c>
      <c r="C5" s="95">
        <v>321</v>
      </c>
      <c r="D5" s="95">
        <v>105</v>
      </c>
      <c r="E5" s="95">
        <v>128</v>
      </c>
      <c r="F5" s="95">
        <v>61</v>
      </c>
      <c r="G5" s="95">
        <v>100</v>
      </c>
      <c r="H5" s="318">
        <v>114</v>
      </c>
      <c r="I5" s="319">
        <f t="shared" si="0"/>
        <v>0.14000000000000001</v>
      </c>
    </row>
    <row r="6" spans="1:10" x14ac:dyDescent="0.3">
      <c r="A6" s="320" t="s">
        <v>3</v>
      </c>
      <c r="B6" s="96">
        <f t="shared" ref="B6:E6" si="1">SUM(B4:B5)</f>
        <v>769</v>
      </c>
      <c r="C6" s="96">
        <f t="shared" si="1"/>
        <v>640</v>
      </c>
      <c r="D6" s="96">
        <f t="shared" si="1"/>
        <v>443</v>
      </c>
      <c r="E6" s="96">
        <f t="shared" si="1"/>
        <v>355</v>
      </c>
      <c r="F6" s="96">
        <f>SUM(F4:F5)</f>
        <v>230</v>
      </c>
      <c r="G6" s="96">
        <f>SUM(G4:G5)</f>
        <v>292</v>
      </c>
      <c r="H6" s="321">
        <f>SUM(H4:H5)</f>
        <v>273</v>
      </c>
      <c r="I6" s="319">
        <f>SUM(H6-G6)/G6</f>
        <v>-6.5068493150684928E-2</v>
      </c>
    </row>
    <row r="7" spans="1:10" x14ac:dyDescent="0.3">
      <c r="A7" s="322" t="s">
        <v>144</v>
      </c>
      <c r="B7" s="95">
        <v>30</v>
      </c>
      <c r="C7" s="95">
        <v>88</v>
      </c>
      <c r="D7" s="95">
        <v>146</v>
      </c>
      <c r="E7" s="95">
        <v>153</v>
      </c>
      <c r="F7" s="95">
        <v>266</v>
      </c>
      <c r="G7" s="95">
        <v>173</v>
      </c>
      <c r="H7" s="318">
        <v>142</v>
      </c>
      <c r="I7" s="319">
        <f t="shared" ref="I7:I10" si="2">SUM(H7-G7)/G7</f>
        <v>-0.1791907514450867</v>
      </c>
    </row>
    <row r="8" spans="1:10" x14ac:dyDescent="0.3">
      <c r="A8" s="317" t="s">
        <v>145</v>
      </c>
      <c r="B8" s="95">
        <v>6</v>
      </c>
      <c r="C8" s="95">
        <v>19</v>
      </c>
      <c r="D8" s="95">
        <v>26</v>
      </c>
      <c r="E8" s="95">
        <v>45</v>
      </c>
      <c r="F8" s="95">
        <v>87</v>
      </c>
      <c r="G8" s="95">
        <v>72</v>
      </c>
      <c r="H8" s="318">
        <v>67</v>
      </c>
      <c r="I8" s="319">
        <f t="shared" si="2"/>
        <v>-6.9444444444444448E-2</v>
      </c>
    </row>
    <row r="9" spans="1:10" x14ac:dyDescent="0.3">
      <c r="A9" s="320" t="s">
        <v>4</v>
      </c>
      <c r="B9" s="96">
        <f t="shared" ref="B9:E9" si="3">SUM(B7:B8)</f>
        <v>36</v>
      </c>
      <c r="C9" s="96">
        <f t="shared" si="3"/>
        <v>107</v>
      </c>
      <c r="D9" s="96">
        <f t="shared" si="3"/>
        <v>172</v>
      </c>
      <c r="E9" s="96">
        <f t="shared" si="3"/>
        <v>198</v>
      </c>
      <c r="F9" s="96">
        <f>SUM(F7:F8)</f>
        <v>353</v>
      </c>
      <c r="G9" s="96">
        <f>SUM(G7:G8)</f>
        <v>245</v>
      </c>
      <c r="H9" s="321">
        <f>SUM(H7:H8)</f>
        <v>209</v>
      </c>
      <c r="I9" s="319">
        <f t="shared" si="2"/>
        <v>-0.14693877551020409</v>
      </c>
    </row>
    <row r="10" spans="1:10" x14ac:dyDescent="0.3">
      <c r="A10" s="322" t="s">
        <v>143</v>
      </c>
      <c r="B10" s="97">
        <v>0</v>
      </c>
      <c r="C10" s="97">
        <v>24</v>
      </c>
      <c r="D10" s="97">
        <v>32</v>
      </c>
      <c r="E10" s="97">
        <v>15</v>
      </c>
      <c r="F10" s="97">
        <v>30</v>
      </c>
      <c r="G10" s="97">
        <v>19</v>
      </c>
      <c r="H10" s="318">
        <v>41</v>
      </c>
      <c r="I10" s="319">
        <f t="shared" si="2"/>
        <v>1.1578947368421053</v>
      </c>
      <c r="J10" s="98"/>
    </row>
    <row r="11" spans="1:10" x14ac:dyDescent="0.3">
      <c r="A11" s="323" t="s">
        <v>5</v>
      </c>
      <c r="B11" s="99">
        <f>SUM(B4,B7)</f>
        <v>671</v>
      </c>
      <c r="C11" s="99">
        <f>SUM(C7,C4)</f>
        <v>407</v>
      </c>
      <c r="D11" s="99">
        <v>484</v>
      </c>
      <c r="E11" s="99">
        <f>E4+E7</f>
        <v>380</v>
      </c>
      <c r="F11" s="99">
        <f>F4+F7</f>
        <v>435</v>
      </c>
      <c r="G11" s="99">
        <v>365</v>
      </c>
      <c r="H11" s="324">
        <f>H4+H7</f>
        <v>301</v>
      </c>
      <c r="I11" s="319">
        <f t="shared" ref="I11:I12" si="4">SUM(G11-F11)/F11</f>
        <v>-0.16091954022988506</v>
      </c>
    </row>
    <row r="12" spans="1:10" x14ac:dyDescent="0.3">
      <c r="A12" s="314" t="s">
        <v>6</v>
      </c>
      <c r="B12" s="99">
        <f>SUM(B5,B8)</f>
        <v>134</v>
      </c>
      <c r="C12" s="99">
        <f>SUM(C8,C5)</f>
        <v>340</v>
      </c>
      <c r="D12" s="99">
        <v>131</v>
      </c>
      <c r="E12" s="99">
        <f>E5+E8</f>
        <v>173</v>
      </c>
      <c r="F12" s="99">
        <f>F5+F8</f>
        <v>148</v>
      </c>
      <c r="G12" s="99">
        <v>172</v>
      </c>
      <c r="H12" s="324">
        <f>H5+H8</f>
        <v>181</v>
      </c>
      <c r="I12" s="319">
        <f t="shared" si="4"/>
        <v>0.16216216216216217</v>
      </c>
    </row>
    <row r="13" spans="1:10" x14ac:dyDescent="0.3">
      <c r="A13" s="314"/>
      <c r="B13" s="99"/>
      <c r="C13" s="99"/>
      <c r="D13" s="99"/>
      <c r="E13" s="99"/>
      <c r="F13" s="99"/>
      <c r="G13" s="99"/>
      <c r="H13" s="318"/>
      <c r="I13" s="319"/>
    </row>
    <row r="14" spans="1:10" x14ac:dyDescent="0.3">
      <c r="A14" s="323" t="s">
        <v>7</v>
      </c>
      <c r="B14" s="99">
        <f>SUM(B11:B12)</f>
        <v>805</v>
      </c>
      <c r="C14" s="99">
        <f>SUM(C10:C13)</f>
        <v>771</v>
      </c>
      <c r="D14" s="99">
        <f>SUM(D10:D13)</f>
        <v>647</v>
      </c>
      <c r="E14" s="99">
        <f>SUM(E10:E13)</f>
        <v>568</v>
      </c>
      <c r="F14" s="99">
        <f>F12+F11+F10</f>
        <v>613</v>
      </c>
      <c r="G14" s="99">
        <f>SUM(G10:G12)</f>
        <v>556</v>
      </c>
      <c r="H14" s="324">
        <v>523</v>
      </c>
      <c r="I14" s="319">
        <f>SUM(G14-F14)/F14</f>
        <v>-9.2985318107667206E-2</v>
      </c>
    </row>
    <row r="17" spans="1:12" x14ac:dyDescent="0.3">
      <c r="A17" s="100" t="s">
        <v>154</v>
      </c>
      <c r="B17" s="9" t="s">
        <v>139</v>
      </c>
      <c r="C17" s="9" t="s">
        <v>157</v>
      </c>
      <c r="D17" s="9" t="s">
        <v>170</v>
      </c>
      <c r="E17" s="9" t="s">
        <v>181</v>
      </c>
      <c r="F17" s="9" t="s">
        <v>205</v>
      </c>
      <c r="G17" s="7" t="s">
        <v>233</v>
      </c>
    </row>
    <row r="18" spans="1:12" x14ac:dyDescent="0.3">
      <c r="A18" s="325" t="s">
        <v>155</v>
      </c>
      <c r="B18" s="85">
        <v>32</v>
      </c>
      <c r="C18" s="85">
        <v>30</v>
      </c>
      <c r="D18" s="85">
        <v>29</v>
      </c>
      <c r="E18" s="85">
        <v>24</v>
      </c>
      <c r="F18" s="85">
        <v>23</v>
      </c>
      <c r="G18" s="39">
        <v>9</v>
      </c>
    </row>
    <row r="19" spans="1:12" x14ac:dyDescent="0.3">
      <c r="A19" s="325" t="s">
        <v>156</v>
      </c>
      <c r="B19" s="326">
        <v>24</v>
      </c>
      <c r="C19" s="327">
        <v>35</v>
      </c>
      <c r="D19" s="326">
        <v>42</v>
      </c>
      <c r="E19" s="326">
        <v>80</v>
      </c>
      <c r="F19" s="326">
        <v>54</v>
      </c>
      <c r="G19" s="328">
        <v>26</v>
      </c>
      <c r="H19" s="329"/>
      <c r="I19" s="329"/>
      <c r="J19" s="329"/>
      <c r="K19" s="329"/>
      <c r="L19" s="329"/>
    </row>
    <row r="20" spans="1:12" x14ac:dyDescent="0.3">
      <c r="A20" s="330" t="s">
        <v>35</v>
      </c>
      <c r="B20" s="331">
        <f>SUM(B18:B19)</f>
        <v>56</v>
      </c>
      <c r="C20" s="332">
        <v>65</v>
      </c>
      <c r="D20" s="331">
        <f>SUM(D18:D19)</f>
        <v>71</v>
      </c>
      <c r="E20" s="331">
        <f>SUM(E18:E19)</f>
        <v>104</v>
      </c>
      <c r="F20" s="331">
        <v>77</v>
      </c>
      <c r="G20" s="333">
        <f>SUM(G18:G19)</f>
        <v>35</v>
      </c>
      <c r="H20" s="329"/>
      <c r="I20" s="329"/>
      <c r="J20" s="329"/>
      <c r="K20" s="329"/>
      <c r="L20" s="329"/>
    </row>
    <row r="21" spans="1:12" ht="14.5" thickBot="1" x14ac:dyDescent="0.35">
      <c r="A21" s="334"/>
      <c r="B21" s="335"/>
      <c r="C21" s="336"/>
      <c r="D21" s="337"/>
      <c r="E21" s="337"/>
      <c r="F21" s="337"/>
      <c r="G21" s="337"/>
      <c r="H21" s="337"/>
      <c r="I21" s="337"/>
      <c r="J21" s="337"/>
      <c r="K21" s="329"/>
      <c r="L21" s="329"/>
    </row>
    <row r="22" spans="1:12" ht="14.5" thickBot="1" x14ac:dyDescent="0.35">
      <c r="A22" s="338" t="s">
        <v>247</v>
      </c>
      <c r="B22" s="339"/>
      <c r="C22" s="336"/>
      <c r="D22" s="337"/>
      <c r="E22" s="337"/>
      <c r="F22" s="337"/>
      <c r="G22" s="337"/>
      <c r="H22" s="337"/>
      <c r="I22" s="337"/>
      <c r="J22" s="337"/>
      <c r="K22" s="329"/>
      <c r="L22" s="329"/>
    </row>
    <row r="23" spans="1:12" ht="14.5" thickBot="1" x14ac:dyDescent="0.35">
      <c r="A23" s="94" t="s">
        <v>166</v>
      </c>
      <c r="C23" s="340"/>
      <c r="D23" s="337"/>
      <c r="E23" s="337"/>
      <c r="F23" s="337"/>
      <c r="G23" s="337"/>
      <c r="H23" s="337"/>
      <c r="I23" s="337"/>
      <c r="J23" s="337"/>
      <c r="L23" s="329"/>
    </row>
    <row r="24" spans="1:12" ht="14.5" thickBot="1" x14ac:dyDescent="0.35">
      <c r="A24" s="94" t="s">
        <v>125</v>
      </c>
      <c r="C24" s="340"/>
      <c r="D24" s="337"/>
      <c r="E24" s="337"/>
      <c r="F24" s="337"/>
      <c r="G24" s="337"/>
      <c r="H24" s="337"/>
      <c r="I24" s="337"/>
      <c r="J24" s="337"/>
      <c r="L24" s="329"/>
    </row>
    <row r="25" spans="1:12" ht="14.5" thickBot="1" x14ac:dyDescent="0.35">
      <c r="C25" s="341"/>
      <c r="D25" s="335"/>
      <c r="E25" s="335"/>
      <c r="F25" s="335"/>
      <c r="G25" s="335"/>
      <c r="H25" s="335"/>
      <c r="I25" s="335"/>
      <c r="J25" s="335"/>
      <c r="L25" s="342"/>
    </row>
    <row r="26" spans="1:12" ht="14.5" thickBot="1" x14ac:dyDescent="0.35">
      <c r="C26" s="341"/>
      <c r="D26" s="343"/>
      <c r="E26" s="343"/>
      <c r="F26" s="343"/>
      <c r="G26" s="343"/>
      <c r="H26" s="343"/>
      <c r="I26" s="343"/>
      <c r="J26" s="343"/>
    </row>
    <row r="27" spans="1:12" ht="14.5" thickBot="1" x14ac:dyDescent="0.35">
      <c r="C27" s="341"/>
      <c r="D27" s="343"/>
      <c r="E27" s="343"/>
      <c r="F27" s="343"/>
      <c r="G27" s="343"/>
      <c r="H27" s="343"/>
      <c r="I27" s="343"/>
      <c r="J27" s="343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"/>
  <sheetViews>
    <sheetView tabSelected="1" workbookViewId="0">
      <selection activeCell="P4" sqref="P4"/>
    </sheetView>
  </sheetViews>
  <sheetFormatPr defaultRowHeight="14" x14ac:dyDescent="0.3"/>
  <cols>
    <col min="1" max="1" width="33.90625" style="1" customWidth="1"/>
    <col min="2" max="2" width="7.453125" style="1" customWidth="1"/>
    <col min="3" max="3" width="7.453125" style="1" bestFit="1" customWidth="1"/>
    <col min="4" max="4" width="7.6328125" style="1" bestFit="1" customWidth="1"/>
    <col min="5" max="5" width="7.1796875" style="1" bestFit="1" customWidth="1"/>
    <col min="6" max="6" width="7.7265625" style="1" bestFit="1" customWidth="1"/>
    <col min="7" max="7" width="7.6328125" style="1" bestFit="1" customWidth="1"/>
    <col min="8" max="8" width="7.1796875" style="1" bestFit="1" customWidth="1"/>
    <col min="9" max="9" width="7.453125" style="1" bestFit="1" customWidth="1"/>
    <col min="10" max="10" width="6.90625" style="1" customWidth="1"/>
    <col min="11" max="11" width="7.08984375" style="1" bestFit="1" customWidth="1"/>
    <col min="12" max="12" width="7.6328125" style="1" bestFit="1" customWidth="1"/>
    <col min="13" max="13" width="7.36328125" style="1" bestFit="1" customWidth="1"/>
    <col min="14" max="14" width="9.453125" style="137" customWidth="1"/>
    <col min="15" max="15" width="10" style="137" customWidth="1"/>
    <col min="16" max="16" width="7.54296875" style="1" customWidth="1"/>
    <col min="17" max="16384" width="8.7265625" style="1"/>
  </cols>
  <sheetData>
    <row r="1" spans="1:16" ht="15.5" x14ac:dyDescent="0.35">
      <c r="A1" s="347" t="s">
        <v>255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6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6" ht="30.5" customHeight="1" x14ac:dyDescent="0.3">
      <c r="A3" s="260"/>
      <c r="B3" s="215">
        <v>44743</v>
      </c>
      <c r="C3" s="215">
        <v>44774</v>
      </c>
      <c r="D3" s="215">
        <v>44805</v>
      </c>
      <c r="E3" s="215">
        <v>44835</v>
      </c>
      <c r="F3" s="215">
        <v>44866</v>
      </c>
      <c r="G3" s="215">
        <v>44896</v>
      </c>
      <c r="H3" s="215">
        <v>44927</v>
      </c>
      <c r="I3" s="215">
        <v>44958</v>
      </c>
      <c r="J3" s="215">
        <v>44986</v>
      </c>
      <c r="K3" s="215">
        <v>45017</v>
      </c>
      <c r="L3" s="215">
        <v>45047</v>
      </c>
      <c r="M3" s="215">
        <v>45078</v>
      </c>
      <c r="N3" s="216" t="s">
        <v>239</v>
      </c>
      <c r="O3" s="217" t="s">
        <v>211</v>
      </c>
      <c r="P3" s="42" t="s">
        <v>0</v>
      </c>
    </row>
    <row r="4" spans="1:16" ht="17.5" customHeight="1" x14ac:dyDescent="0.3">
      <c r="A4" s="261" t="s">
        <v>97</v>
      </c>
      <c r="B4" s="5">
        <v>0</v>
      </c>
      <c r="C4" s="5">
        <f>SUM(C5:C6)</f>
        <v>27</v>
      </c>
      <c r="D4" s="5">
        <f t="shared" ref="D4:M4" si="0">SUM(D5:D6)</f>
        <v>24</v>
      </c>
      <c r="E4" s="5">
        <v>12</v>
      </c>
      <c r="F4" s="5">
        <f t="shared" si="0"/>
        <v>5</v>
      </c>
      <c r="G4" s="5">
        <f t="shared" si="0"/>
        <v>0</v>
      </c>
      <c r="H4" s="5">
        <f t="shared" si="0"/>
        <v>18</v>
      </c>
      <c r="I4" s="5">
        <v>10</v>
      </c>
      <c r="J4" s="5">
        <f t="shared" si="0"/>
        <v>9</v>
      </c>
      <c r="K4" s="5">
        <f t="shared" si="0"/>
        <v>2</v>
      </c>
      <c r="L4" s="5">
        <v>1</v>
      </c>
      <c r="M4" s="5">
        <f t="shared" si="0"/>
        <v>0</v>
      </c>
      <c r="N4" s="149">
        <f>SUM(B4:M4)</f>
        <v>108</v>
      </c>
      <c r="O4" s="70">
        <v>102</v>
      </c>
      <c r="P4" s="16">
        <f>(N4-O4)/O4</f>
        <v>5.8823529411764705E-2</v>
      </c>
    </row>
    <row r="5" spans="1:16" x14ac:dyDescent="0.3">
      <c r="A5" s="262" t="s">
        <v>231</v>
      </c>
      <c r="B5" s="2">
        <v>0</v>
      </c>
      <c r="C5" s="2">
        <v>11</v>
      </c>
      <c r="D5" s="2">
        <v>4</v>
      </c>
      <c r="E5" s="2">
        <v>0</v>
      </c>
      <c r="F5" s="2">
        <v>1</v>
      </c>
      <c r="G5" s="2">
        <v>0</v>
      </c>
      <c r="H5" s="2">
        <v>0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149">
        <f>SUM(B5:M5)</f>
        <v>17</v>
      </c>
      <c r="O5" s="70">
        <v>16</v>
      </c>
      <c r="P5" s="16">
        <f t="shared" ref="P5:P17" si="1">(N5-O5)/O5</f>
        <v>6.25E-2</v>
      </c>
    </row>
    <row r="6" spans="1:16" x14ac:dyDescent="0.3">
      <c r="A6" s="262" t="s">
        <v>194</v>
      </c>
      <c r="B6" s="2">
        <v>0</v>
      </c>
      <c r="C6" s="2">
        <v>16</v>
      </c>
      <c r="D6" s="2">
        <v>20</v>
      </c>
      <c r="E6" s="2">
        <v>12</v>
      </c>
      <c r="F6" s="2">
        <v>4</v>
      </c>
      <c r="G6" s="2">
        <v>0</v>
      </c>
      <c r="H6" s="2">
        <v>18</v>
      </c>
      <c r="I6" s="2">
        <v>10</v>
      </c>
      <c r="J6" s="2">
        <v>8</v>
      </c>
      <c r="K6" s="2">
        <v>2</v>
      </c>
      <c r="L6" s="2">
        <v>1</v>
      </c>
      <c r="M6" s="2"/>
      <c r="N6" s="149">
        <f t="shared" ref="N6:N13" si="2">SUM(B6:M6)</f>
        <v>91</v>
      </c>
      <c r="O6" s="70">
        <v>86</v>
      </c>
      <c r="P6" s="16">
        <f t="shared" si="1"/>
        <v>5.8139534883720929E-2</v>
      </c>
    </row>
    <row r="7" spans="1:16" ht="19" customHeight="1" x14ac:dyDescent="0.3">
      <c r="A7" s="261" t="s">
        <v>232</v>
      </c>
      <c r="B7" s="5">
        <v>0</v>
      </c>
      <c r="C7" s="5">
        <f>SUM(C8:C9)</f>
        <v>550</v>
      </c>
      <c r="D7" s="5">
        <f>SUM(D8:D9)</f>
        <v>367</v>
      </c>
      <c r="E7" s="5">
        <v>235</v>
      </c>
      <c r="F7" s="5">
        <f t="shared" ref="F7:M7" si="3">SUM(F8:F9)</f>
        <v>64</v>
      </c>
      <c r="G7" s="5">
        <f t="shared" si="3"/>
        <v>0</v>
      </c>
      <c r="H7" s="5">
        <f t="shared" si="3"/>
        <v>260</v>
      </c>
      <c r="I7" s="5">
        <v>105</v>
      </c>
      <c r="J7" s="5">
        <f t="shared" si="3"/>
        <v>262</v>
      </c>
      <c r="K7" s="5">
        <f t="shared" si="3"/>
        <v>12</v>
      </c>
      <c r="L7" s="5">
        <v>4</v>
      </c>
      <c r="M7" s="5">
        <f t="shared" si="3"/>
        <v>0</v>
      </c>
      <c r="N7" s="149">
        <f t="shared" si="2"/>
        <v>1859</v>
      </c>
      <c r="O7" s="70">
        <v>2256</v>
      </c>
      <c r="P7" s="16">
        <f t="shared" si="1"/>
        <v>-0.17597517730496454</v>
      </c>
    </row>
    <row r="8" spans="1:16" ht="22.5" customHeight="1" x14ac:dyDescent="0.3">
      <c r="A8" s="262" t="s">
        <v>196</v>
      </c>
      <c r="B8" s="2">
        <v>0</v>
      </c>
      <c r="C8" s="2">
        <v>317</v>
      </c>
      <c r="D8" s="2">
        <v>54</v>
      </c>
      <c r="E8" s="2">
        <v>0</v>
      </c>
      <c r="F8" s="2">
        <v>12</v>
      </c>
      <c r="G8" s="2">
        <v>0</v>
      </c>
      <c r="H8" s="2">
        <v>0</v>
      </c>
      <c r="I8" s="2">
        <v>0</v>
      </c>
      <c r="J8" s="2">
        <v>167</v>
      </c>
      <c r="K8" s="2">
        <v>0</v>
      </c>
      <c r="L8" s="2">
        <v>0</v>
      </c>
      <c r="M8" s="2">
        <v>0</v>
      </c>
      <c r="N8" s="149">
        <f t="shared" si="2"/>
        <v>550</v>
      </c>
      <c r="O8" s="70">
        <v>1031</v>
      </c>
      <c r="P8" s="16">
        <f t="shared" si="1"/>
        <v>-0.466537342386033</v>
      </c>
    </row>
    <row r="9" spans="1:16" ht="22.5" customHeight="1" x14ac:dyDescent="0.3">
      <c r="A9" s="262" t="s">
        <v>197</v>
      </c>
      <c r="B9" s="2">
        <v>0</v>
      </c>
      <c r="C9" s="2">
        <v>233</v>
      </c>
      <c r="D9" s="2">
        <v>313</v>
      </c>
      <c r="E9" s="2">
        <v>235</v>
      </c>
      <c r="F9" s="2">
        <v>52</v>
      </c>
      <c r="G9" s="2">
        <v>0</v>
      </c>
      <c r="H9" s="2">
        <v>260</v>
      </c>
      <c r="I9" s="2">
        <v>105</v>
      </c>
      <c r="J9" s="2">
        <v>95</v>
      </c>
      <c r="K9" s="2">
        <v>12</v>
      </c>
      <c r="L9" s="2">
        <v>4</v>
      </c>
      <c r="M9" s="2">
        <v>0</v>
      </c>
      <c r="N9" s="149">
        <v>1405</v>
      </c>
      <c r="O9" s="70">
        <v>1225</v>
      </c>
      <c r="P9" s="16">
        <f t="shared" si="1"/>
        <v>0.14693877551020409</v>
      </c>
    </row>
    <row r="10" spans="1:16" ht="30" customHeight="1" x14ac:dyDescent="0.3">
      <c r="A10" s="262" t="s">
        <v>198</v>
      </c>
      <c r="B10" s="2">
        <v>0</v>
      </c>
      <c r="C10" s="2">
        <v>16</v>
      </c>
      <c r="D10" s="2">
        <v>20</v>
      </c>
      <c r="E10" s="2">
        <v>6</v>
      </c>
      <c r="F10" s="2">
        <v>4</v>
      </c>
      <c r="G10" s="2">
        <v>0</v>
      </c>
      <c r="H10" s="2">
        <v>18</v>
      </c>
      <c r="I10" s="2">
        <v>7</v>
      </c>
      <c r="J10" s="2">
        <v>8</v>
      </c>
      <c r="K10" s="2">
        <v>2</v>
      </c>
      <c r="L10" s="2">
        <v>0</v>
      </c>
      <c r="M10" s="2">
        <v>0</v>
      </c>
      <c r="N10" s="149">
        <f t="shared" si="2"/>
        <v>81</v>
      </c>
      <c r="O10" s="70">
        <v>79</v>
      </c>
      <c r="P10" s="16">
        <f t="shared" si="1"/>
        <v>2.5316455696202531E-2</v>
      </c>
    </row>
    <row r="11" spans="1:16" ht="34.5" customHeight="1" x14ac:dyDescent="0.3">
      <c r="A11" s="262" t="s">
        <v>199</v>
      </c>
      <c r="B11" s="2">
        <v>0</v>
      </c>
      <c r="C11" s="2">
        <v>317</v>
      </c>
      <c r="D11" s="2">
        <v>313</v>
      </c>
      <c r="E11" s="2">
        <v>79</v>
      </c>
      <c r="F11" s="2">
        <v>64</v>
      </c>
      <c r="G11" s="2">
        <v>0</v>
      </c>
      <c r="H11" s="2">
        <v>260</v>
      </c>
      <c r="I11" s="2">
        <v>68</v>
      </c>
      <c r="J11" s="2">
        <v>95</v>
      </c>
      <c r="K11" s="2">
        <v>12</v>
      </c>
      <c r="L11" s="2">
        <v>0</v>
      </c>
      <c r="M11" s="2">
        <v>0</v>
      </c>
      <c r="N11" s="149">
        <f t="shared" si="2"/>
        <v>1208</v>
      </c>
      <c r="O11" s="70">
        <v>1101</v>
      </c>
      <c r="P11" s="16">
        <f t="shared" si="1"/>
        <v>9.7184377838328798E-2</v>
      </c>
    </row>
    <row r="12" spans="1:16" ht="22.5" customHeight="1" x14ac:dyDescent="0.3">
      <c r="A12" s="262" t="s">
        <v>175</v>
      </c>
      <c r="B12" s="2">
        <v>0</v>
      </c>
      <c r="C12" s="2">
        <v>0</v>
      </c>
      <c r="D12" s="2">
        <v>0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49">
        <f t="shared" si="2"/>
        <v>1</v>
      </c>
      <c r="O12" s="70">
        <v>2</v>
      </c>
      <c r="P12" s="16">
        <f t="shared" si="1"/>
        <v>-0.5</v>
      </c>
    </row>
    <row r="13" spans="1:16" ht="22.5" customHeight="1" x14ac:dyDescent="0.3">
      <c r="A13" s="262" t="s">
        <v>102</v>
      </c>
      <c r="B13" s="2">
        <v>0</v>
      </c>
      <c r="C13" s="2">
        <v>0</v>
      </c>
      <c r="D13" s="2">
        <v>0</v>
      </c>
      <c r="E13" s="2">
        <v>15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49">
        <f t="shared" si="2"/>
        <v>15</v>
      </c>
      <c r="O13" s="70">
        <v>22</v>
      </c>
      <c r="P13" s="16">
        <f t="shared" si="1"/>
        <v>-0.31818181818181818</v>
      </c>
    </row>
    <row r="14" spans="1:16" ht="22.5" customHeight="1" x14ac:dyDescent="0.3">
      <c r="A14" s="263" t="s">
        <v>176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  <c r="O14" s="70">
        <v>1</v>
      </c>
      <c r="P14" s="16">
        <f t="shared" si="1"/>
        <v>-1</v>
      </c>
    </row>
    <row r="15" spans="1:16" ht="27.5" customHeight="1" x14ac:dyDescent="0.3">
      <c r="A15" s="263" t="s">
        <v>177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>SUM(B15:M15)</f>
        <v>0</v>
      </c>
      <c r="O15" s="70">
        <v>1</v>
      </c>
      <c r="P15" s="16">
        <f t="shared" si="1"/>
        <v>-1</v>
      </c>
    </row>
    <row r="16" spans="1:16" ht="22" customHeight="1" x14ac:dyDescent="0.3">
      <c r="A16" s="263" t="s">
        <v>103</v>
      </c>
      <c r="B16" s="2">
        <v>0</v>
      </c>
      <c r="C16" s="2">
        <v>0</v>
      </c>
      <c r="D16" s="2">
        <v>0</v>
      </c>
      <c r="E16" s="2">
        <v>5</v>
      </c>
      <c r="F16" s="2">
        <v>0</v>
      </c>
      <c r="G16" s="2">
        <v>0</v>
      </c>
      <c r="H16" s="2">
        <v>0</v>
      </c>
      <c r="I16" s="2">
        <v>3</v>
      </c>
      <c r="J16" s="2">
        <v>0</v>
      </c>
      <c r="K16" s="2">
        <v>0</v>
      </c>
      <c r="L16" s="2">
        <v>1</v>
      </c>
      <c r="M16" s="2">
        <v>0</v>
      </c>
      <c r="N16" s="5">
        <f>SUM(B16:M16)</f>
        <v>9</v>
      </c>
      <c r="O16" s="70">
        <v>4</v>
      </c>
      <c r="P16" s="16">
        <f t="shared" si="1"/>
        <v>1.25</v>
      </c>
    </row>
    <row r="17" spans="1:16" ht="20" customHeight="1" x14ac:dyDescent="0.3">
      <c r="A17" s="263" t="s">
        <v>200</v>
      </c>
      <c r="B17" s="2">
        <v>0</v>
      </c>
      <c r="C17" s="2">
        <v>0</v>
      </c>
      <c r="D17" s="2">
        <v>0</v>
      </c>
      <c r="E17" s="2">
        <v>141</v>
      </c>
      <c r="F17" s="2">
        <v>0</v>
      </c>
      <c r="G17" s="2">
        <v>0</v>
      </c>
      <c r="H17" s="2">
        <v>0</v>
      </c>
      <c r="I17" s="2">
        <v>37</v>
      </c>
      <c r="J17" s="2">
        <v>0</v>
      </c>
      <c r="K17" s="2">
        <v>0</v>
      </c>
      <c r="L17" s="2">
        <v>4</v>
      </c>
      <c r="M17" s="2">
        <v>0</v>
      </c>
      <c r="N17" s="5">
        <f>SUM(B17:M17)</f>
        <v>182</v>
      </c>
      <c r="O17" s="70">
        <v>101</v>
      </c>
      <c r="P17" s="16">
        <f t="shared" si="1"/>
        <v>0.80198019801980203</v>
      </c>
    </row>
    <row r="21" spans="1:16" x14ac:dyDescent="0.3">
      <c r="A21" s="259" t="s">
        <v>210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</row>
    <row r="22" spans="1:16" ht="42" x14ac:dyDescent="0.3">
      <c r="A22" s="260"/>
      <c r="B22" s="264">
        <v>44378</v>
      </c>
      <c r="C22" s="264" t="s">
        <v>220</v>
      </c>
      <c r="D22" s="264" t="s">
        <v>219</v>
      </c>
      <c r="E22" s="264" t="s">
        <v>221</v>
      </c>
      <c r="F22" s="264" t="s">
        <v>222</v>
      </c>
      <c r="G22" s="264" t="s">
        <v>223</v>
      </c>
      <c r="H22" s="264" t="s">
        <v>224</v>
      </c>
      <c r="I22" s="264" t="s">
        <v>225</v>
      </c>
      <c r="J22" s="264" t="s">
        <v>227</v>
      </c>
      <c r="K22" s="264" t="s">
        <v>226</v>
      </c>
      <c r="L22" s="265" t="s">
        <v>228</v>
      </c>
      <c r="M22" s="265" t="s">
        <v>229</v>
      </c>
      <c r="N22" s="266" t="s">
        <v>211</v>
      </c>
      <c r="O22" s="267" t="s">
        <v>187</v>
      </c>
      <c r="P22" s="42" t="s">
        <v>0</v>
      </c>
    </row>
    <row r="23" spans="1:16" x14ac:dyDescent="0.3">
      <c r="A23" s="263" t="s">
        <v>97</v>
      </c>
      <c r="B23" s="268"/>
      <c r="C23" s="268"/>
      <c r="D23" s="268"/>
      <c r="E23" s="268"/>
      <c r="F23" s="268"/>
      <c r="G23" s="268"/>
      <c r="H23" s="269"/>
      <c r="I23" s="269"/>
      <c r="J23" s="269"/>
      <c r="K23" s="268"/>
      <c r="L23" s="269"/>
      <c r="M23" s="270"/>
      <c r="N23" s="271">
        <f>SUM(N24:N25)</f>
        <v>102</v>
      </c>
      <c r="O23" s="155">
        <v>100</v>
      </c>
      <c r="P23" s="172">
        <f>(N23-O23)/O23</f>
        <v>0.02</v>
      </c>
    </row>
    <row r="24" spans="1:16" ht="17" customHeight="1" x14ac:dyDescent="0.3">
      <c r="A24" s="263" t="s">
        <v>231</v>
      </c>
      <c r="B24" s="268"/>
      <c r="C24" s="268"/>
      <c r="D24" s="268"/>
      <c r="E24" s="268"/>
      <c r="F24" s="268"/>
      <c r="G24" s="268"/>
      <c r="H24" s="269"/>
      <c r="I24" s="269"/>
      <c r="J24" s="269"/>
      <c r="K24" s="268"/>
      <c r="L24" s="269"/>
      <c r="M24" s="270"/>
      <c r="N24" s="271">
        <v>16</v>
      </c>
      <c r="O24" s="155">
        <v>12</v>
      </c>
      <c r="P24" s="172">
        <f t="shared" ref="P24:P36" si="4">(N24-O24)/O24</f>
        <v>0.33333333333333331</v>
      </c>
    </row>
    <row r="25" spans="1:16" ht="18.5" customHeight="1" x14ac:dyDescent="0.3">
      <c r="A25" s="263" t="s">
        <v>194</v>
      </c>
      <c r="B25" s="12">
        <v>0</v>
      </c>
      <c r="C25" s="12">
        <v>8</v>
      </c>
      <c r="D25" s="1">
        <v>21</v>
      </c>
      <c r="E25" s="12">
        <v>14</v>
      </c>
      <c r="F25" s="12">
        <v>3</v>
      </c>
      <c r="G25" s="12">
        <v>1</v>
      </c>
      <c r="H25" s="272">
        <v>16</v>
      </c>
      <c r="I25" s="272">
        <v>7</v>
      </c>
      <c r="J25" s="272">
        <v>11</v>
      </c>
      <c r="K25" s="12">
        <v>2</v>
      </c>
      <c r="L25" s="272">
        <v>0</v>
      </c>
      <c r="M25" s="273">
        <v>3</v>
      </c>
      <c r="N25" s="271">
        <f t="shared" ref="N25:N36" si="5">SUM(B25:M25)</f>
        <v>86</v>
      </c>
      <c r="O25" s="155">
        <v>88</v>
      </c>
      <c r="P25" s="172">
        <f t="shared" si="4"/>
        <v>-2.2727272727272728E-2</v>
      </c>
    </row>
    <row r="26" spans="1:16" ht="29" customHeight="1" x14ac:dyDescent="0.3">
      <c r="A26" s="263" t="s">
        <v>232</v>
      </c>
      <c r="B26" s="268"/>
      <c r="C26" s="268"/>
      <c r="D26" s="268"/>
      <c r="E26" s="268"/>
      <c r="F26" s="268"/>
      <c r="G26" s="268"/>
      <c r="H26" s="269"/>
      <c r="I26" s="269"/>
      <c r="J26" s="269"/>
      <c r="K26" s="268"/>
      <c r="L26" s="269"/>
      <c r="M26" s="274"/>
      <c r="N26" s="271">
        <f>SUM(N27:N28)</f>
        <v>2256</v>
      </c>
      <c r="O26" s="155">
        <v>2159</v>
      </c>
      <c r="P26" s="172">
        <f t="shared" si="4"/>
        <v>4.492820750347383E-2</v>
      </c>
    </row>
    <row r="27" spans="1:16" ht="26" customHeight="1" x14ac:dyDescent="0.3">
      <c r="A27" s="263" t="s">
        <v>196</v>
      </c>
      <c r="B27" s="268"/>
      <c r="C27" s="268"/>
      <c r="D27" s="268"/>
      <c r="E27" s="268"/>
      <c r="F27" s="268"/>
      <c r="G27" s="268"/>
      <c r="H27" s="269"/>
      <c r="I27" s="269"/>
      <c r="J27" s="269"/>
      <c r="K27" s="268"/>
      <c r="L27" s="269"/>
      <c r="M27" s="274"/>
      <c r="N27" s="271">
        <v>1031</v>
      </c>
      <c r="O27" s="155">
        <v>1183</v>
      </c>
      <c r="P27" s="172">
        <f t="shared" si="4"/>
        <v>-0.12848689771766694</v>
      </c>
    </row>
    <row r="28" spans="1:16" ht="30.5" customHeight="1" x14ac:dyDescent="0.3">
      <c r="A28" s="263" t="s">
        <v>197</v>
      </c>
      <c r="B28" s="12">
        <v>0</v>
      </c>
      <c r="C28" s="12">
        <v>153</v>
      </c>
      <c r="D28" s="12">
        <v>296</v>
      </c>
      <c r="E28" s="12">
        <v>244</v>
      </c>
      <c r="F28" s="12">
        <v>47</v>
      </c>
      <c r="G28" s="12">
        <v>1</v>
      </c>
      <c r="H28" s="272">
        <v>236</v>
      </c>
      <c r="I28" s="272">
        <v>107</v>
      </c>
      <c r="J28" s="272">
        <v>103</v>
      </c>
      <c r="K28" s="12">
        <v>4</v>
      </c>
      <c r="L28" s="272">
        <v>0</v>
      </c>
      <c r="M28" s="275">
        <v>34</v>
      </c>
      <c r="N28" s="271">
        <f t="shared" si="5"/>
        <v>1225</v>
      </c>
      <c r="O28" s="155">
        <v>976</v>
      </c>
      <c r="P28" s="172">
        <f t="shared" si="4"/>
        <v>0.25512295081967212</v>
      </c>
    </row>
    <row r="29" spans="1:16" ht="39" customHeight="1" x14ac:dyDescent="0.3">
      <c r="A29" s="263" t="s">
        <v>198</v>
      </c>
      <c r="B29" s="12">
        <v>0</v>
      </c>
      <c r="C29" s="12">
        <v>8</v>
      </c>
      <c r="D29" s="12">
        <v>21</v>
      </c>
      <c r="E29" s="12">
        <v>10</v>
      </c>
      <c r="F29" s="12">
        <v>3</v>
      </c>
      <c r="G29" s="12">
        <v>0</v>
      </c>
      <c r="H29" s="272">
        <v>15</v>
      </c>
      <c r="I29" s="272">
        <v>7</v>
      </c>
      <c r="J29" s="272">
        <v>11</v>
      </c>
      <c r="K29" s="12">
        <v>2</v>
      </c>
      <c r="L29" s="272">
        <v>0</v>
      </c>
      <c r="M29" s="275">
        <v>2</v>
      </c>
      <c r="N29" s="271">
        <f t="shared" si="5"/>
        <v>79</v>
      </c>
      <c r="O29" s="155">
        <v>54</v>
      </c>
      <c r="P29" s="172">
        <f t="shared" si="4"/>
        <v>0.46296296296296297</v>
      </c>
    </row>
    <row r="30" spans="1:16" ht="30" customHeight="1" x14ac:dyDescent="0.3">
      <c r="A30" s="263" t="s">
        <v>199</v>
      </c>
      <c r="B30" s="45">
        <v>0</v>
      </c>
      <c r="C30" s="45">
        <v>153</v>
      </c>
      <c r="D30" s="45">
        <v>296</v>
      </c>
      <c r="E30" s="45">
        <v>143</v>
      </c>
      <c r="F30" s="45">
        <v>47</v>
      </c>
      <c r="G30" s="45">
        <v>0</v>
      </c>
      <c r="H30" s="272">
        <v>229</v>
      </c>
      <c r="I30" s="272">
        <v>107</v>
      </c>
      <c r="J30" s="272">
        <v>103</v>
      </c>
      <c r="K30" s="45">
        <v>4</v>
      </c>
      <c r="L30" s="272">
        <v>0</v>
      </c>
      <c r="M30" s="12">
        <v>19</v>
      </c>
      <c r="N30" s="271">
        <f t="shared" si="5"/>
        <v>1101</v>
      </c>
      <c r="O30" s="76">
        <v>781</v>
      </c>
      <c r="P30" s="172">
        <f t="shared" si="4"/>
        <v>0.40973111395646605</v>
      </c>
    </row>
    <row r="31" spans="1:16" ht="27" customHeight="1" x14ac:dyDescent="0.3">
      <c r="A31" s="263" t="s">
        <v>175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272">
        <v>1</v>
      </c>
      <c r="I31" s="272">
        <v>0</v>
      </c>
      <c r="J31" s="272">
        <v>0</v>
      </c>
      <c r="K31" s="12">
        <v>0</v>
      </c>
      <c r="L31" s="272">
        <v>0</v>
      </c>
      <c r="M31" s="275">
        <v>1</v>
      </c>
      <c r="N31" s="271">
        <f t="shared" si="5"/>
        <v>2</v>
      </c>
      <c r="O31" s="76">
        <v>3</v>
      </c>
      <c r="P31" s="172">
        <f t="shared" si="4"/>
        <v>-0.33333333333333331</v>
      </c>
    </row>
    <row r="32" spans="1:16" ht="27.5" customHeight="1" x14ac:dyDescent="0.3">
      <c r="A32" s="263" t="s">
        <v>102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272">
        <v>7</v>
      </c>
      <c r="I32" s="272">
        <v>0</v>
      </c>
      <c r="J32" s="272">
        <v>0</v>
      </c>
      <c r="K32" s="12">
        <v>0</v>
      </c>
      <c r="L32" s="272">
        <v>0</v>
      </c>
      <c r="M32" s="275">
        <v>15</v>
      </c>
      <c r="N32" s="271">
        <f t="shared" si="5"/>
        <v>22</v>
      </c>
      <c r="O32" s="155">
        <v>29</v>
      </c>
      <c r="P32" s="172">
        <f t="shared" si="4"/>
        <v>-0.2413793103448276</v>
      </c>
    </row>
    <row r="33" spans="1:16" ht="39.5" customHeight="1" x14ac:dyDescent="0.3">
      <c r="A33" s="263" t="s">
        <v>176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1</v>
      </c>
      <c r="H33" s="272">
        <v>0</v>
      </c>
      <c r="I33" s="272">
        <v>0</v>
      </c>
      <c r="J33" s="272">
        <v>0</v>
      </c>
      <c r="K33" s="12">
        <v>0</v>
      </c>
      <c r="L33" s="272">
        <v>0</v>
      </c>
      <c r="M33" s="275">
        <v>0</v>
      </c>
      <c r="N33" s="271">
        <f t="shared" si="5"/>
        <v>1</v>
      </c>
      <c r="O33" s="155">
        <v>26</v>
      </c>
      <c r="P33" s="172">
        <f t="shared" si="4"/>
        <v>-0.96153846153846156</v>
      </c>
    </row>
    <row r="34" spans="1:16" ht="29.5" customHeight="1" x14ac:dyDescent="0.3">
      <c r="A34" s="263" t="s">
        <v>177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272">
        <v>0</v>
      </c>
      <c r="I34" s="272">
        <v>0</v>
      </c>
      <c r="J34" s="272">
        <v>0</v>
      </c>
      <c r="K34" s="12">
        <v>0</v>
      </c>
      <c r="L34" s="272">
        <v>0</v>
      </c>
      <c r="M34" s="275">
        <v>0</v>
      </c>
      <c r="N34" s="271">
        <f t="shared" si="5"/>
        <v>1</v>
      </c>
      <c r="O34" s="155">
        <v>99</v>
      </c>
      <c r="P34" s="172">
        <f t="shared" si="4"/>
        <v>-0.98989898989898994</v>
      </c>
    </row>
    <row r="35" spans="1:16" ht="26" customHeight="1" x14ac:dyDescent="0.3">
      <c r="A35" s="263" t="s">
        <v>103</v>
      </c>
      <c r="B35" s="12">
        <v>0</v>
      </c>
      <c r="C35" s="12">
        <v>0</v>
      </c>
      <c r="D35" s="12">
        <v>0</v>
      </c>
      <c r="E35" s="12">
        <v>4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272">
        <v>0</v>
      </c>
      <c r="M35" s="12">
        <v>0</v>
      </c>
      <c r="N35" s="271">
        <f t="shared" si="5"/>
        <v>4</v>
      </c>
      <c r="O35" s="155">
        <v>5</v>
      </c>
      <c r="P35" s="172">
        <f t="shared" si="4"/>
        <v>-0.2</v>
      </c>
    </row>
    <row r="36" spans="1:16" ht="27.5" customHeight="1" x14ac:dyDescent="0.3">
      <c r="A36" s="263" t="s">
        <v>200</v>
      </c>
      <c r="B36" s="12">
        <v>0</v>
      </c>
      <c r="C36" s="12">
        <v>0</v>
      </c>
      <c r="D36" s="12">
        <v>0</v>
      </c>
      <c r="E36" s="12">
        <v>101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272">
        <v>0</v>
      </c>
      <c r="M36" s="12">
        <v>0</v>
      </c>
      <c r="N36" s="271">
        <f t="shared" si="5"/>
        <v>101</v>
      </c>
      <c r="O36" s="155">
        <v>67</v>
      </c>
      <c r="P36" s="172">
        <f t="shared" si="4"/>
        <v>0.5074626865671642</v>
      </c>
    </row>
    <row r="37" spans="1:16" ht="27.5" customHeight="1" x14ac:dyDescent="0.3"/>
    <row r="38" spans="1:16" ht="29" customHeight="1" x14ac:dyDescent="0.3"/>
    <row r="39" spans="1:16" ht="18" customHeight="1" x14ac:dyDescent="0.3">
      <c r="A39" s="259" t="s">
        <v>186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76"/>
    </row>
    <row r="40" spans="1:16" ht="42" x14ac:dyDescent="0.3">
      <c r="A40" s="277"/>
      <c r="B40" s="278">
        <v>44013</v>
      </c>
      <c r="C40" s="278">
        <v>44044</v>
      </c>
      <c r="D40" s="278">
        <v>44075</v>
      </c>
      <c r="E40" s="278">
        <v>44105</v>
      </c>
      <c r="F40" s="278">
        <v>44136</v>
      </c>
      <c r="G40" s="278">
        <v>44166</v>
      </c>
      <c r="H40" s="278">
        <v>44197</v>
      </c>
      <c r="I40" s="278">
        <v>44228</v>
      </c>
      <c r="J40" s="278">
        <v>44256</v>
      </c>
      <c r="K40" s="278">
        <v>44287</v>
      </c>
      <c r="L40" s="278">
        <v>44317</v>
      </c>
      <c r="M40" s="278">
        <v>44348</v>
      </c>
      <c r="N40" s="266" t="s">
        <v>187</v>
      </c>
      <c r="O40" s="279" t="s">
        <v>178</v>
      </c>
      <c r="P40" s="43" t="s">
        <v>0</v>
      </c>
    </row>
    <row r="41" spans="1:16" x14ac:dyDescent="0.3">
      <c r="A41" s="280" t="s">
        <v>97</v>
      </c>
      <c r="B41" s="194"/>
      <c r="C41" s="194"/>
      <c r="D41" s="194"/>
      <c r="E41" s="194"/>
      <c r="F41" s="194"/>
      <c r="G41" s="194"/>
      <c r="H41" s="178"/>
      <c r="I41" s="178"/>
      <c r="J41" s="178"/>
      <c r="K41" s="194"/>
      <c r="L41" s="178"/>
      <c r="M41" s="281"/>
      <c r="N41" s="271">
        <v>100</v>
      </c>
      <c r="O41" s="155">
        <v>127</v>
      </c>
      <c r="P41" s="172">
        <f>(N41-O41)/N41</f>
        <v>-0.27</v>
      </c>
    </row>
    <row r="42" spans="1:16" x14ac:dyDescent="0.3">
      <c r="A42" s="280" t="s">
        <v>193</v>
      </c>
      <c r="B42" s="194"/>
      <c r="C42" s="194"/>
      <c r="D42" s="194"/>
      <c r="E42" s="194"/>
      <c r="F42" s="194"/>
      <c r="G42" s="194"/>
      <c r="H42" s="178"/>
      <c r="I42" s="178"/>
      <c r="J42" s="178"/>
      <c r="K42" s="194"/>
      <c r="L42" s="178"/>
      <c r="M42" s="281"/>
      <c r="N42" s="271">
        <v>12</v>
      </c>
      <c r="O42" s="76" t="s">
        <v>201</v>
      </c>
      <c r="P42" s="76" t="s">
        <v>201</v>
      </c>
    </row>
    <row r="43" spans="1:16" x14ac:dyDescent="0.3">
      <c r="A43" s="280" t="s">
        <v>194</v>
      </c>
      <c r="B43" s="194">
        <v>0</v>
      </c>
      <c r="C43" s="194">
        <v>15</v>
      </c>
      <c r="D43" s="194">
        <v>16</v>
      </c>
      <c r="E43" s="194">
        <v>19</v>
      </c>
      <c r="F43" s="194">
        <v>7</v>
      </c>
      <c r="G43" s="194">
        <v>1</v>
      </c>
      <c r="H43" s="178">
        <v>4</v>
      </c>
      <c r="I43" s="178">
        <v>20</v>
      </c>
      <c r="J43" s="178">
        <v>4</v>
      </c>
      <c r="K43" s="194">
        <v>0</v>
      </c>
      <c r="L43" s="178">
        <v>1</v>
      </c>
      <c r="M43" s="281">
        <v>1</v>
      </c>
      <c r="N43" s="271">
        <v>88</v>
      </c>
      <c r="O43" s="76" t="s">
        <v>201</v>
      </c>
      <c r="P43" s="76" t="s">
        <v>201</v>
      </c>
    </row>
    <row r="44" spans="1:16" ht="27" customHeight="1" x14ac:dyDescent="0.3">
      <c r="A44" s="178" t="s">
        <v>195</v>
      </c>
      <c r="B44" s="194"/>
      <c r="C44" s="194"/>
      <c r="D44" s="194"/>
      <c r="E44" s="194"/>
      <c r="F44" s="194"/>
      <c r="G44" s="194"/>
      <c r="H44" s="178"/>
      <c r="I44" s="178"/>
      <c r="J44" s="178"/>
      <c r="K44" s="194"/>
      <c r="L44" s="282"/>
      <c r="M44" s="282"/>
      <c r="N44" s="271">
        <v>2159</v>
      </c>
      <c r="O44" s="155">
        <v>1795</v>
      </c>
      <c r="P44" s="172">
        <f>(N44-O44)/N44</f>
        <v>0.16859657248726262</v>
      </c>
    </row>
    <row r="45" spans="1:16" ht="27.5" customHeight="1" x14ac:dyDescent="0.3">
      <c r="A45" s="178" t="s">
        <v>196</v>
      </c>
      <c r="B45" s="194"/>
      <c r="C45" s="194"/>
      <c r="D45" s="194"/>
      <c r="E45" s="194"/>
      <c r="F45" s="194"/>
      <c r="G45" s="194"/>
      <c r="H45" s="178"/>
      <c r="I45" s="178"/>
      <c r="J45" s="178"/>
      <c r="K45" s="194"/>
      <c r="L45" s="282"/>
      <c r="M45" s="282"/>
      <c r="N45" s="271">
        <v>1183</v>
      </c>
      <c r="O45" s="76" t="s">
        <v>201</v>
      </c>
      <c r="P45" s="76" t="s">
        <v>201</v>
      </c>
    </row>
    <row r="46" spans="1:16" ht="28" x14ac:dyDescent="0.3">
      <c r="A46" s="178" t="s">
        <v>197</v>
      </c>
      <c r="B46" s="194">
        <v>0</v>
      </c>
      <c r="C46" s="194">
        <v>220</v>
      </c>
      <c r="D46" s="194">
        <v>244</v>
      </c>
      <c r="E46" s="194">
        <v>127</v>
      </c>
      <c r="F46" s="194">
        <v>16</v>
      </c>
      <c r="G46" s="194">
        <v>1</v>
      </c>
      <c r="H46" s="178">
        <v>74</v>
      </c>
      <c r="I46" s="178">
        <v>238</v>
      </c>
      <c r="J46" s="178">
        <v>38</v>
      </c>
      <c r="K46" s="194">
        <v>0</v>
      </c>
      <c r="L46" s="282">
        <v>10</v>
      </c>
      <c r="M46" s="282">
        <v>8</v>
      </c>
      <c r="N46" s="271">
        <v>976</v>
      </c>
      <c r="O46" s="76" t="s">
        <v>201</v>
      </c>
      <c r="P46" s="76" t="s">
        <v>201</v>
      </c>
    </row>
    <row r="47" spans="1:16" ht="29" customHeight="1" x14ac:dyDescent="0.3">
      <c r="A47" s="280" t="s">
        <v>198</v>
      </c>
      <c r="B47" s="194">
        <v>0</v>
      </c>
      <c r="C47" s="194">
        <v>15</v>
      </c>
      <c r="D47" s="194">
        <v>14</v>
      </c>
      <c r="E47" s="194">
        <v>3</v>
      </c>
      <c r="F47" s="194">
        <v>0</v>
      </c>
      <c r="G47" s="194">
        <v>0</v>
      </c>
      <c r="H47" s="178">
        <v>2</v>
      </c>
      <c r="I47" s="178">
        <v>18</v>
      </c>
      <c r="J47" s="178">
        <v>2</v>
      </c>
      <c r="K47" s="194">
        <v>0</v>
      </c>
      <c r="L47" s="282">
        <v>0</v>
      </c>
      <c r="M47" s="282">
        <v>0</v>
      </c>
      <c r="N47" s="271">
        <v>54</v>
      </c>
      <c r="O47" s="155">
        <v>114</v>
      </c>
      <c r="P47" s="172">
        <f t="shared" ref="P47:P52" si="6">(N47-O47)/N47</f>
        <v>-1.1111111111111112</v>
      </c>
    </row>
    <row r="48" spans="1:16" ht="28.5" customHeight="1" x14ac:dyDescent="0.3">
      <c r="A48" s="280" t="s">
        <v>199</v>
      </c>
      <c r="B48" s="177">
        <v>0</v>
      </c>
      <c r="C48" s="177">
        <v>220</v>
      </c>
      <c r="D48" s="177">
        <v>220</v>
      </c>
      <c r="E48" s="177">
        <v>35</v>
      </c>
      <c r="F48" s="177">
        <v>0</v>
      </c>
      <c r="G48" s="177">
        <v>0</v>
      </c>
      <c r="H48" s="178">
        <v>54</v>
      </c>
      <c r="I48" s="178">
        <v>218</v>
      </c>
      <c r="J48" s="178">
        <v>34</v>
      </c>
      <c r="K48" s="177">
        <v>0</v>
      </c>
      <c r="L48" s="194">
        <v>0</v>
      </c>
      <c r="M48" s="194">
        <v>0</v>
      </c>
      <c r="N48" s="186">
        <v>781</v>
      </c>
      <c r="O48" s="76">
        <v>1689</v>
      </c>
      <c r="P48" s="172">
        <f t="shared" si="6"/>
        <v>-1.1626120358514724</v>
      </c>
    </row>
    <row r="49" spans="1:16" ht="27.5" customHeight="1" x14ac:dyDescent="0.3">
      <c r="A49" s="280" t="s">
        <v>175</v>
      </c>
      <c r="B49" s="194">
        <v>0</v>
      </c>
      <c r="C49" s="194">
        <v>0</v>
      </c>
      <c r="D49" s="194">
        <v>0</v>
      </c>
      <c r="E49" s="194">
        <v>0</v>
      </c>
      <c r="F49" s="194">
        <v>0</v>
      </c>
      <c r="G49" s="194">
        <v>0</v>
      </c>
      <c r="H49" s="178">
        <v>1</v>
      </c>
      <c r="I49" s="178">
        <v>0</v>
      </c>
      <c r="J49" s="178">
        <v>0</v>
      </c>
      <c r="K49" s="194">
        <v>0</v>
      </c>
      <c r="L49" s="282">
        <v>1</v>
      </c>
      <c r="M49" s="282">
        <v>1</v>
      </c>
      <c r="N49" s="186">
        <v>3</v>
      </c>
      <c r="O49" s="76">
        <v>3</v>
      </c>
      <c r="P49" s="172">
        <f t="shared" si="6"/>
        <v>0</v>
      </c>
    </row>
    <row r="50" spans="1:16" ht="26" customHeight="1" x14ac:dyDescent="0.3">
      <c r="A50" s="280" t="s">
        <v>102</v>
      </c>
      <c r="B50" s="194">
        <v>0</v>
      </c>
      <c r="C50" s="194">
        <v>0</v>
      </c>
      <c r="D50" s="194">
        <v>0</v>
      </c>
      <c r="E50" s="194">
        <v>0</v>
      </c>
      <c r="F50" s="194">
        <v>0</v>
      </c>
      <c r="G50" s="194">
        <v>0</v>
      </c>
      <c r="H50" s="178">
        <v>11</v>
      </c>
      <c r="I50" s="178">
        <v>0</v>
      </c>
      <c r="J50" s="178">
        <v>0</v>
      </c>
      <c r="K50" s="194">
        <v>0</v>
      </c>
      <c r="L50" s="282">
        <v>10</v>
      </c>
      <c r="M50" s="282">
        <v>8</v>
      </c>
      <c r="N50" s="271">
        <v>29</v>
      </c>
      <c r="O50" s="155">
        <v>32</v>
      </c>
      <c r="P50" s="172">
        <f t="shared" si="6"/>
        <v>-0.10344827586206896</v>
      </c>
    </row>
    <row r="51" spans="1:16" ht="29.5" customHeight="1" x14ac:dyDescent="0.3">
      <c r="A51" s="280" t="s">
        <v>176</v>
      </c>
      <c r="B51" s="194">
        <v>0</v>
      </c>
      <c r="C51" s="194">
        <v>0</v>
      </c>
      <c r="D51" s="194">
        <v>2</v>
      </c>
      <c r="E51" s="194">
        <v>11</v>
      </c>
      <c r="F51" s="194">
        <v>7</v>
      </c>
      <c r="G51" s="194">
        <v>1</v>
      </c>
      <c r="H51" s="178">
        <v>1</v>
      </c>
      <c r="I51" s="178">
        <v>2</v>
      </c>
      <c r="J51" s="178">
        <v>2</v>
      </c>
      <c r="K51" s="194">
        <v>0</v>
      </c>
      <c r="L51" s="282">
        <v>0</v>
      </c>
      <c r="M51" s="282">
        <v>0</v>
      </c>
      <c r="N51" s="271">
        <v>26</v>
      </c>
      <c r="O51" s="155">
        <v>10</v>
      </c>
      <c r="P51" s="172">
        <f t="shared" si="6"/>
        <v>0.61538461538461542</v>
      </c>
    </row>
    <row r="52" spans="1:16" ht="28" x14ac:dyDescent="0.3">
      <c r="A52" s="280" t="s">
        <v>177</v>
      </c>
      <c r="B52" s="194">
        <v>0</v>
      </c>
      <c r="C52" s="194">
        <v>0</v>
      </c>
      <c r="D52" s="194">
        <v>24</v>
      </c>
      <c r="E52" s="194">
        <v>25</v>
      </c>
      <c r="F52" s="194">
        <v>16</v>
      </c>
      <c r="G52" s="194">
        <v>1</v>
      </c>
      <c r="H52" s="178">
        <v>9</v>
      </c>
      <c r="I52" s="178">
        <v>20</v>
      </c>
      <c r="J52" s="178">
        <v>4</v>
      </c>
      <c r="K52" s="194">
        <v>0</v>
      </c>
      <c r="L52" s="282">
        <v>0</v>
      </c>
      <c r="M52" s="282">
        <v>0</v>
      </c>
      <c r="N52" s="271">
        <v>99</v>
      </c>
      <c r="O52" s="155">
        <v>74</v>
      </c>
      <c r="P52" s="172">
        <f t="shared" si="6"/>
        <v>0.25252525252525254</v>
      </c>
    </row>
    <row r="53" spans="1:16" x14ac:dyDescent="0.3">
      <c r="A53" s="280" t="s">
        <v>103</v>
      </c>
      <c r="B53" s="194">
        <v>0</v>
      </c>
      <c r="C53" s="194">
        <v>0</v>
      </c>
      <c r="D53" s="194">
        <v>0</v>
      </c>
      <c r="E53" s="194">
        <v>5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271">
        <v>5</v>
      </c>
      <c r="O53" s="76" t="s">
        <v>201</v>
      </c>
      <c r="P53" s="76" t="s">
        <v>201</v>
      </c>
    </row>
    <row r="54" spans="1:16" x14ac:dyDescent="0.3">
      <c r="A54" s="280" t="s">
        <v>200</v>
      </c>
      <c r="B54" s="194">
        <v>0</v>
      </c>
      <c r="C54" s="194">
        <v>0</v>
      </c>
      <c r="D54" s="194">
        <v>0</v>
      </c>
      <c r="E54" s="194">
        <v>67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0</v>
      </c>
      <c r="N54" s="271">
        <v>67</v>
      </c>
      <c r="O54" s="76" t="s">
        <v>201</v>
      </c>
      <c r="P54" s="76" t="s">
        <v>201</v>
      </c>
    </row>
    <row r="55" spans="1:16" ht="15" customHeight="1" x14ac:dyDescent="0.3">
      <c r="A55" s="283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5"/>
      <c r="O55" s="286"/>
    </row>
    <row r="56" spans="1:16" ht="15" customHeight="1" x14ac:dyDescent="0.3">
      <c r="A56" s="283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5"/>
      <c r="O56" s="286"/>
    </row>
    <row r="57" spans="1:16" s="44" customFormat="1" ht="27.5" customHeight="1" x14ac:dyDescent="0.3">
      <c r="A57" s="287" t="s">
        <v>172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76"/>
      <c r="P57" s="1"/>
    </row>
    <row r="58" spans="1:16" ht="15" customHeight="1" x14ac:dyDescent="0.3">
      <c r="A58" s="288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9"/>
      <c r="O58" s="276"/>
    </row>
    <row r="59" spans="1:16" ht="15" customHeight="1" x14ac:dyDescent="0.3">
      <c r="A59" s="277"/>
      <c r="B59" s="278">
        <v>43647</v>
      </c>
      <c r="C59" s="278">
        <v>43678</v>
      </c>
      <c r="D59" s="278">
        <v>43709</v>
      </c>
      <c r="E59" s="278">
        <v>43739</v>
      </c>
      <c r="F59" s="278">
        <v>43770</v>
      </c>
      <c r="G59" s="278">
        <v>43800</v>
      </c>
      <c r="H59" s="278">
        <v>43831</v>
      </c>
      <c r="I59" s="278">
        <v>43862</v>
      </c>
      <c r="J59" s="278">
        <v>43891</v>
      </c>
      <c r="K59" s="278">
        <v>43922</v>
      </c>
      <c r="L59" s="278">
        <v>43952</v>
      </c>
      <c r="M59" s="278">
        <v>43983</v>
      </c>
      <c r="N59" s="266" t="s">
        <v>178</v>
      </c>
      <c r="O59" s="279" t="s">
        <v>179</v>
      </c>
      <c r="P59" s="43" t="s">
        <v>0</v>
      </c>
    </row>
    <row r="60" spans="1:16" ht="25.5" customHeight="1" x14ac:dyDescent="0.3">
      <c r="A60" s="280" t="s">
        <v>97</v>
      </c>
      <c r="B60" s="194">
        <v>0</v>
      </c>
      <c r="C60" s="194">
        <v>21</v>
      </c>
      <c r="D60" s="194">
        <v>34</v>
      </c>
      <c r="E60" s="194">
        <v>19</v>
      </c>
      <c r="F60" s="194">
        <v>2</v>
      </c>
      <c r="G60" s="194">
        <v>1</v>
      </c>
      <c r="H60" s="178">
        <v>23</v>
      </c>
      <c r="I60" s="178">
        <v>22</v>
      </c>
      <c r="J60" s="178">
        <v>4</v>
      </c>
      <c r="K60" s="194">
        <v>0</v>
      </c>
      <c r="L60" s="178">
        <v>0</v>
      </c>
      <c r="M60" s="281">
        <v>1</v>
      </c>
      <c r="N60" s="271">
        <v>127</v>
      </c>
      <c r="O60" s="155">
        <v>105</v>
      </c>
      <c r="P60" s="172">
        <f>(N60-O60)/N60</f>
        <v>0.17322834645669291</v>
      </c>
    </row>
    <row r="61" spans="1:16" ht="29.5" customHeight="1" x14ac:dyDescent="0.3">
      <c r="A61" s="178" t="s">
        <v>98</v>
      </c>
      <c r="B61" s="194">
        <v>0</v>
      </c>
      <c r="C61" s="194">
        <v>309</v>
      </c>
      <c r="D61" s="194">
        <v>472</v>
      </c>
      <c r="E61" s="194">
        <v>281</v>
      </c>
      <c r="F61" s="194">
        <v>22</v>
      </c>
      <c r="G61" s="194">
        <v>3</v>
      </c>
      <c r="H61" s="178">
        <v>339</v>
      </c>
      <c r="I61" s="178">
        <v>326</v>
      </c>
      <c r="J61" s="178">
        <v>35</v>
      </c>
      <c r="K61" s="194">
        <v>0</v>
      </c>
      <c r="L61" s="282">
        <v>0</v>
      </c>
      <c r="M61" s="282">
        <v>8</v>
      </c>
      <c r="N61" s="271">
        <v>1795</v>
      </c>
      <c r="O61" s="155">
        <v>1758</v>
      </c>
      <c r="P61" s="172">
        <f>(N61-O61)/N61</f>
        <v>2.0612813370473538E-2</v>
      </c>
    </row>
    <row r="62" spans="1:16" ht="29.5" customHeight="1" x14ac:dyDescent="0.3">
      <c r="A62" s="280" t="s">
        <v>174</v>
      </c>
      <c r="B62" s="194">
        <v>0</v>
      </c>
      <c r="C62" s="194">
        <v>18</v>
      </c>
      <c r="D62" s="194">
        <v>33</v>
      </c>
      <c r="E62" s="194">
        <v>17</v>
      </c>
      <c r="F62" s="194">
        <v>1</v>
      </c>
      <c r="G62" s="194">
        <v>0</v>
      </c>
      <c r="H62" s="178">
        <v>21</v>
      </c>
      <c r="I62" s="178">
        <v>21</v>
      </c>
      <c r="J62" s="178">
        <v>3</v>
      </c>
      <c r="K62" s="194">
        <v>0</v>
      </c>
      <c r="L62" s="282">
        <v>0</v>
      </c>
      <c r="M62" s="282">
        <v>0</v>
      </c>
      <c r="N62" s="290">
        <v>114</v>
      </c>
      <c r="O62" s="291"/>
    </row>
    <row r="63" spans="1:16" ht="30.5" customHeight="1" x14ac:dyDescent="0.3">
      <c r="A63" s="280" t="s">
        <v>100</v>
      </c>
      <c r="B63" s="177">
        <v>0</v>
      </c>
      <c r="C63" s="177">
        <v>263</v>
      </c>
      <c r="D63" s="177">
        <v>464</v>
      </c>
      <c r="E63" s="177">
        <v>270</v>
      </c>
      <c r="F63" s="177">
        <v>18</v>
      </c>
      <c r="G63" s="177">
        <v>0</v>
      </c>
      <c r="H63" s="178">
        <v>322</v>
      </c>
      <c r="I63" s="178">
        <v>320</v>
      </c>
      <c r="J63" s="178">
        <v>32</v>
      </c>
      <c r="K63" s="194">
        <v>0</v>
      </c>
      <c r="L63" s="194">
        <v>0</v>
      </c>
      <c r="M63" s="194">
        <v>0</v>
      </c>
      <c r="N63" s="292">
        <v>1689</v>
      </c>
      <c r="O63" s="293"/>
    </row>
    <row r="64" spans="1:16" ht="28" x14ac:dyDescent="0.3">
      <c r="A64" s="280" t="s">
        <v>175</v>
      </c>
      <c r="B64" s="194">
        <v>0</v>
      </c>
      <c r="C64" s="194">
        <v>1</v>
      </c>
      <c r="D64" s="194">
        <v>0</v>
      </c>
      <c r="E64" s="194">
        <v>0</v>
      </c>
      <c r="F64" s="194">
        <v>0</v>
      </c>
      <c r="G64" s="194">
        <v>0</v>
      </c>
      <c r="H64" s="178">
        <v>1</v>
      </c>
      <c r="I64" s="178">
        <v>0</v>
      </c>
      <c r="J64" s="178">
        <v>0</v>
      </c>
      <c r="K64" s="194">
        <v>0</v>
      </c>
      <c r="L64" s="282">
        <v>0</v>
      </c>
      <c r="M64" s="282">
        <v>1</v>
      </c>
      <c r="N64" s="292">
        <v>3</v>
      </c>
      <c r="O64" s="293"/>
    </row>
    <row r="65" spans="1:16" x14ac:dyDescent="0.3">
      <c r="A65" s="280" t="s">
        <v>102</v>
      </c>
      <c r="B65" s="194">
        <v>0</v>
      </c>
      <c r="C65" s="194">
        <v>10</v>
      </c>
      <c r="D65" s="194">
        <v>0</v>
      </c>
      <c r="E65" s="194">
        <v>0</v>
      </c>
      <c r="F65" s="194">
        <v>0</v>
      </c>
      <c r="G65" s="194">
        <v>0</v>
      </c>
      <c r="H65" s="178">
        <v>14</v>
      </c>
      <c r="I65" s="178">
        <v>0</v>
      </c>
      <c r="J65" s="178">
        <v>0</v>
      </c>
      <c r="K65" s="194">
        <v>0</v>
      </c>
      <c r="L65" s="282">
        <v>0</v>
      </c>
      <c r="M65" s="282">
        <v>8</v>
      </c>
      <c r="N65" s="290">
        <v>32</v>
      </c>
      <c r="O65" s="291"/>
    </row>
    <row r="66" spans="1:16" ht="28" x14ac:dyDescent="0.3">
      <c r="A66" s="280" t="s">
        <v>176</v>
      </c>
      <c r="B66" s="194">
        <v>0</v>
      </c>
      <c r="C66" s="194">
        <v>2</v>
      </c>
      <c r="D66" s="194">
        <v>1</v>
      </c>
      <c r="E66" s="194">
        <v>2</v>
      </c>
      <c r="F66" s="194">
        <v>1</v>
      </c>
      <c r="G66" s="194">
        <v>1</v>
      </c>
      <c r="H66" s="178">
        <v>1</v>
      </c>
      <c r="I66" s="178">
        <v>1</v>
      </c>
      <c r="J66" s="178">
        <v>1</v>
      </c>
      <c r="K66" s="194"/>
      <c r="L66" s="282"/>
      <c r="M66" s="282"/>
      <c r="N66" s="290">
        <v>10</v>
      </c>
      <c r="O66" s="291"/>
    </row>
    <row r="67" spans="1:16" ht="28" x14ac:dyDescent="0.3">
      <c r="A67" s="280" t="s">
        <v>177</v>
      </c>
      <c r="B67" s="194">
        <v>0</v>
      </c>
      <c r="C67" s="194">
        <v>36</v>
      </c>
      <c r="D67" s="194">
        <v>8</v>
      </c>
      <c r="E67" s="194">
        <v>11</v>
      </c>
      <c r="F67" s="194">
        <v>4</v>
      </c>
      <c r="G67" s="194">
        <v>3</v>
      </c>
      <c r="H67" s="178">
        <v>3</v>
      </c>
      <c r="I67" s="178">
        <v>6</v>
      </c>
      <c r="J67" s="178">
        <v>3</v>
      </c>
      <c r="K67" s="194"/>
      <c r="L67" s="282"/>
      <c r="M67" s="282"/>
      <c r="N67" s="290">
        <v>74</v>
      </c>
      <c r="O67" s="291"/>
    </row>
    <row r="68" spans="1:16" x14ac:dyDescent="0.3">
      <c r="A68" s="280" t="s">
        <v>103</v>
      </c>
      <c r="B68" s="194" t="s">
        <v>129</v>
      </c>
      <c r="C68" s="194" t="s">
        <v>129</v>
      </c>
      <c r="D68" s="194" t="s">
        <v>129</v>
      </c>
      <c r="E68" s="194" t="s">
        <v>129</v>
      </c>
      <c r="F68" s="194" t="s">
        <v>129</v>
      </c>
      <c r="G68" s="194" t="s">
        <v>129</v>
      </c>
      <c r="H68" s="194" t="s">
        <v>129</v>
      </c>
      <c r="I68" s="194" t="s">
        <v>129</v>
      </c>
      <c r="J68" s="194" t="s">
        <v>129</v>
      </c>
      <c r="K68" s="194" t="s">
        <v>129</v>
      </c>
      <c r="L68" s="194" t="s">
        <v>129</v>
      </c>
      <c r="M68" s="194" t="s">
        <v>129</v>
      </c>
      <c r="N68" s="194" t="s">
        <v>129</v>
      </c>
      <c r="O68" s="291"/>
    </row>
    <row r="69" spans="1:16" x14ac:dyDescent="0.3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9"/>
      <c r="O69" s="276"/>
    </row>
    <row r="70" spans="1:16" ht="29.5" customHeight="1" x14ac:dyDescent="0.3">
      <c r="A70" s="287" t="s">
        <v>161</v>
      </c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76"/>
    </row>
    <row r="71" spans="1:16" ht="27.5" customHeight="1" x14ac:dyDescent="0.3">
      <c r="A71" s="288"/>
      <c r="B71" s="294"/>
      <c r="C71" s="294"/>
      <c r="D71" s="294"/>
      <c r="E71" s="294"/>
      <c r="F71" s="295"/>
      <c r="G71" s="295"/>
      <c r="H71" s="295"/>
      <c r="I71" s="295"/>
      <c r="J71" s="295"/>
      <c r="K71" s="284"/>
      <c r="L71" s="284"/>
      <c r="M71" s="284"/>
      <c r="N71" s="296"/>
    </row>
    <row r="72" spans="1:16" ht="28.5" customHeight="1" x14ac:dyDescent="0.3">
      <c r="A72" s="277"/>
      <c r="B72" s="278">
        <v>43282</v>
      </c>
      <c r="C72" s="278">
        <v>43313</v>
      </c>
      <c r="D72" s="278">
        <v>43344</v>
      </c>
      <c r="E72" s="278">
        <v>43374</v>
      </c>
      <c r="F72" s="278">
        <v>43405</v>
      </c>
      <c r="G72" s="278">
        <v>43435</v>
      </c>
      <c r="H72" s="278">
        <v>43466</v>
      </c>
      <c r="I72" s="278">
        <v>43497</v>
      </c>
      <c r="J72" s="278">
        <v>43525</v>
      </c>
      <c r="K72" s="278">
        <v>43556</v>
      </c>
      <c r="L72" s="278">
        <v>43586</v>
      </c>
      <c r="M72" s="278">
        <v>43617</v>
      </c>
      <c r="N72" s="266" t="s">
        <v>96</v>
      </c>
      <c r="O72" s="279" t="s">
        <v>160</v>
      </c>
      <c r="P72" s="43" t="s">
        <v>0</v>
      </c>
    </row>
    <row r="73" spans="1:16" ht="28" customHeight="1" x14ac:dyDescent="0.3">
      <c r="A73" s="280" t="s">
        <v>97</v>
      </c>
      <c r="B73" s="194">
        <v>0</v>
      </c>
      <c r="C73" s="194">
        <v>18</v>
      </c>
      <c r="D73" s="194">
        <v>33</v>
      </c>
      <c r="E73" s="194">
        <v>14</v>
      </c>
      <c r="F73" s="194">
        <v>2</v>
      </c>
      <c r="G73" s="194">
        <v>0</v>
      </c>
      <c r="H73" s="178">
        <v>19</v>
      </c>
      <c r="I73" s="178">
        <v>13</v>
      </c>
      <c r="J73" s="178">
        <v>6</v>
      </c>
      <c r="K73" s="194">
        <v>1</v>
      </c>
      <c r="L73" s="178">
        <v>0</v>
      </c>
      <c r="M73" s="281">
        <v>0</v>
      </c>
      <c r="N73" s="271">
        <v>105</v>
      </c>
      <c r="O73" s="155">
        <v>103</v>
      </c>
      <c r="P73" s="172">
        <f>(N73-O73)/N73</f>
        <v>1.9047619047619049E-2</v>
      </c>
    </row>
    <row r="74" spans="1:16" x14ac:dyDescent="0.3">
      <c r="A74" s="178" t="s">
        <v>98</v>
      </c>
      <c r="B74" s="194">
        <v>0</v>
      </c>
      <c r="C74" s="194">
        <v>347</v>
      </c>
      <c r="D74" s="194">
        <v>525</v>
      </c>
      <c r="E74" s="194">
        <v>255</v>
      </c>
      <c r="F74" s="194">
        <v>27</v>
      </c>
      <c r="G74" s="194">
        <v>0</v>
      </c>
      <c r="H74" s="178">
        <v>345</v>
      </c>
      <c r="I74" s="178">
        <v>176</v>
      </c>
      <c r="J74" s="178">
        <v>64</v>
      </c>
      <c r="K74" s="194">
        <v>23</v>
      </c>
      <c r="L74" s="282">
        <v>0</v>
      </c>
      <c r="M74" s="282">
        <v>0</v>
      </c>
      <c r="N74" s="271">
        <v>1758</v>
      </c>
      <c r="O74" s="155">
        <v>1637</v>
      </c>
      <c r="P74" s="172">
        <f>(N74-O74)/N74</f>
        <v>6.882821387940842E-2</v>
      </c>
    </row>
    <row r="75" spans="1:16" ht="28" x14ac:dyDescent="0.3">
      <c r="A75" s="280" t="s">
        <v>99</v>
      </c>
      <c r="B75" s="194" t="s">
        <v>129</v>
      </c>
      <c r="C75" s="194" t="s">
        <v>129</v>
      </c>
      <c r="D75" s="194" t="s">
        <v>129</v>
      </c>
      <c r="E75" s="194" t="s">
        <v>129</v>
      </c>
      <c r="F75" s="194" t="s">
        <v>129</v>
      </c>
      <c r="G75" s="194" t="s">
        <v>129</v>
      </c>
      <c r="H75" s="194" t="s">
        <v>129</v>
      </c>
      <c r="I75" s="194" t="s">
        <v>129</v>
      </c>
      <c r="J75" s="194" t="s">
        <v>129</v>
      </c>
      <c r="K75" s="194" t="s">
        <v>129</v>
      </c>
      <c r="L75" s="194" t="s">
        <v>129</v>
      </c>
      <c r="M75" s="297" t="s">
        <v>129</v>
      </c>
      <c r="N75" s="298"/>
      <c r="O75" s="286"/>
    </row>
    <row r="76" spans="1:16" ht="28" x14ac:dyDescent="0.3">
      <c r="A76" s="280" t="s">
        <v>100</v>
      </c>
      <c r="B76" s="194" t="s">
        <v>129</v>
      </c>
      <c r="C76" s="194" t="s">
        <v>129</v>
      </c>
      <c r="D76" s="194" t="s">
        <v>129</v>
      </c>
      <c r="E76" s="194" t="s">
        <v>129</v>
      </c>
      <c r="F76" s="194" t="s">
        <v>129</v>
      </c>
      <c r="G76" s="194" t="s">
        <v>129</v>
      </c>
      <c r="H76" s="194" t="s">
        <v>129</v>
      </c>
      <c r="I76" s="194" t="s">
        <v>129</v>
      </c>
      <c r="J76" s="194" t="s">
        <v>129</v>
      </c>
      <c r="K76" s="194" t="s">
        <v>129</v>
      </c>
      <c r="L76" s="194" t="s">
        <v>129</v>
      </c>
      <c r="M76" s="297" t="s">
        <v>129</v>
      </c>
      <c r="N76" s="299"/>
      <c r="O76" s="14"/>
    </row>
    <row r="77" spans="1:16" x14ac:dyDescent="0.3">
      <c r="A77" s="280" t="s">
        <v>101</v>
      </c>
      <c r="B77" s="194" t="s">
        <v>129</v>
      </c>
      <c r="C77" s="194" t="s">
        <v>129</v>
      </c>
      <c r="D77" s="194" t="s">
        <v>129</v>
      </c>
      <c r="E77" s="194" t="s">
        <v>129</v>
      </c>
      <c r="F77" s="194" t="s">
        <v>129</v>
      </c>
      <c r="G77" s="194" t="s">
        <v>129</v>
      </c>
      <c r="H77" s="194" t="s">
        <v>129</v>
      </c>
      <c r="I77" s="194" t="s">
        <v>129</v>
      </c>
      <c r="J77" s="194" t="s">
        <v>129</v>
      </c>
      <c r="K77" s="194" t="s">
        <v>129</v>
      </c>
      <c r="L77" s="194" t="s">
        <v>129</v>
      </c>
      <c r="M77" s="297" t="s">
        <v>129</v>
      </c>
      <c r="N77" s="299"/>
      <c r="O77" s="14"/>
    </row>
    <row r="78" spans="1:16" x14ac:dyDescent="0.3">
      <c r="A78" s="280" t="s">
        <v>102</v>
      </c>
      <c r="B78" s="194" t="s">
        <v>129</v>
      </c>
      <c r="C78" s="194" t="s">
        <v>129</v>
      </c>
      <c r="D78" s="194" t="s">
        <v>129</v>
      </c>
      <c r="E78" s="194" t="s">
        <v>129</v>
      </c>
      <c r="F78" s="194" t="s">
        <v>129</v>
      </c>
      <c r="G78" s="194" t="s">
        <v>129</v>
      </c>
      <c r="H78" s="194" t="s">
        <v>129</v>
      </c>
      <c r="I78" s="194" t="s">
        <v>129</v>
      </c>
      <c r="J78" s="194" t="s">
        <v>129</v>
      </c>
      <c r="K78" s="194" t="s">
        <v>129</v>
      </c>
      <c r="L78" s="194" t="s">
        <v>129</v>
      </c>
      <c r="M78" s="297" t="s">
        <v>129</v>
      </c>
      <c r="N78" s="299"/>
      <c r="O78" s="14"/>
    </row>
    <row r="79" spans="1:16" x14ac:dyDescent="0.3">
      <c r="A79" s="280" t="s">
        <v>103</v>
      </c>
      <c r="B79" s="194" t="s">
        <v>129</v>
      </c>
      <c r="C79" s="194" t="s">
        <v>129</v>
      </c>
      <c r="D79" s="194" t="s">
        <v>129</v>
      </c>
      <c r="E79" s="194" t="s">
        <v>129</v>
      </c>
      <c r="F79" s="194" t="s">
        <v>129</v>
      </c>
      <c r="G79" s="194" t="s">
        <v>129</v>
      </c>
      <c r="H79" s="194" t="s">
        <v>129</v>
      </c>
      <c r="I79" s="194" t="s">
        <v>129</v>
      </c>
      <c r="J79" s="194" t="s">
        <v>129</v>
      </c>
      <c r="K79" s="194" t="s">
        <v>129</v>
      </c>
      <c r="L79" s="194" t="s">
        <v>129</v>
      </c>
      <c r="M79" s="297" t="s">
        <v>129</v>
      </c>
      <c r="N79" s="299"/>
      <c r="O79" s="14"/>
    </row>
    <row r="80" spans="1:16" x14ac:dyDescent="0.3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296"/>
    </row>
    <row r="81" spans="1:15" ht="28.5" customHeight="1" x14ac:dyDescent="0.3">
      <c r="A81" s="300" t="s">
        <v>142</v>
      </c>
      <c r="B81" s="301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2"/>
    </row>
    <row r="82" spans="1:15" ht="28.5" customHeight="1" x14ac:dyDescent="0.3">
      <c r="A82" s="303"/>
      <c r="B82" s="304">
        <v>42917</v>
      </c>
      <c r="C82" s="304">
        <v>42948</v>
      </c>
      <c r="D82" s="304">
        <v>42979</v>
      </c>
      <c r="E82" s="304">
        <v>43009</v>
      </c>
      <c r="F82" s="304">
        <v>43040</v>
      </c>
      <c r="G82" s="304">
        <v>43070</v>
      </c>
      <c r="H82" s="304">
        <v>43101</v>
      </c>
      <c r="I82" s="304">
        <v>43132</v>
      </c>
      <c r="J82" s="304">
        <v>43160</v>
      </c>
      <c r="K82" s="304">
        <v>43191</v>
      </c>
      <c r="L82" s="304">
        <v>43221</v>
      </c>
      <c r="M82" s="304">
        <v>43252</v>
      </c>
      <c r="N82" s="271" t="s">
        <v>96</v>
      </c>
      <c r="O82" s="70" t="s">
        <v>0</v>
      </c>
    </row>
    <row r="83" spans="1:15" ht="24.5" customHeight="1" x14ac:dyDescent="0.3">
      <c r="A83" s="280" t="s">
        <v>97</v>
      </c>
      <c r="B83" s="194">
        <v>0</v>
      </c>
      <c r="C83" s="194">
        <v>1</v>
      </c>
      <c r="D83" s="194">
        <v>22</v>
      </c>
      <c r="E83" s="194">
        <v>27</v>
      </c>
      <c r="F83" s="194">
        <v>10</v>
      </c>
      <c r="G83" s="194">
        <v>0</v>
      </c>
      <c r="H83" s="178">
        <v>1</v>
      </c>
      <c r="I83" s="178">
        <v>1</v>
      </c>
      <c r="J83" s="178">
        <v>35</v>
      </c>
      <c r="K83" s="194">
        <v>6</v>
      </c>
      <c r="L83" s="178">
        <v>0</v>
      </c>
      <c r="M83" s="281">
        <v>0</v>
      </c>
      <c r="N83" s="271">
        <f>SUM(B83:M83)</f>
        <v>103</v>
      </c>
      <c r="O83" s="218">
        <f>(N83-N96)/N96</f>
        <v>0.19767441860465115</v>
      </c>
    </row>
    <row r="84" spans="1:15" ht="29.5" customHeight="1" x14ac:dyDescent="0.3">
      <c r="A84" s="178" t="s">
        <v>98</v>
      </c>
      <c r="B84" s="194">
        <v>0</v>
      </c>
      <c r="C84" s="194">
        <v>15</v>
      </c>
      <c r="D84" s="194">
        <v>323</v>
      </c>
      <c r="E84" s="194">
        <v>436</v>
      </c>
      <c r="F84" s="194">
        <v>127</v>
      </c>
      <c r="G84" s="194">
        <v>0</v>
      </c>
      <c r="H84" s="178">
        <v>18</v>
      </c>
      <c r="I84" s="178">
        <v>25</v>
      </c>
      <c r="J84" s="178">
        <v>629</v>
      </c>
      <c r="K84" s="194">
        <v>100</v>
      </c>
      <c r="L84" s="282">
        <v>0</v>
      </c>
      <c r="M84" s="282">
        <v>0</v>
      </c>
      <c r="N84" s="271">
        <f>SUM(B84:M84)</f>
        <v>1673</v>
      </c>
      <c r="O84" s="218">
        <f>(N84-N97)/N97</f>
        <v>9.1324200913242004E-2</v>
      </c>
    </row>
    <row r="85" spans="1:15" ht="28" x14ac:dyDescent="0.3">
      <c r="A85" s="280" t="s">
        <v>99</v>
      </c>
      <c r="B85" s="194" t="s">
        <v>129</v>
      </c>
      <c r="C85" s="194" t="s">
        <v>129</v>
      </c>
      <c r="D85" s="194" t="s">
        <v>129</v>
      </c>
      <c r="E85" s="194" t="s">
        <v>129</v>
      </c>
      <c r="F85" s="194" t="s">
        <v>129</v>
      </c>
      <c r="G85" s="194" t="s">
        <v>129</v>
      </c>
      <c r="H85" s="194" t="s">
        <v>129</v>
      </c>
      <c r="I85" s="194" t="s">
        <v>129</v>
      </c>
      <c r="J85" s="194" t="s">
        <v>129</v>
      </c>
      <c r="K85" s="194" t="s">
        <v>129</v>
      </c>
      <c r="L85" s="194" t="s">
        <v>129</v>
      </c>
      <c r="M85" s="297" t="s">
        <v>129</v>
      </c>
      <c r="N85" s="305"/>
    </row>
    <row r="86" spans="1:15" ht="28" x14ac:dyDescent="0.3">
      <c r="A86" s="280" t="s">
        <v>100</v>
      </c>
      <c r="B86" s="194" t="s">
        <v>129</v>
      </c>
      <c r="C86" s="194" t="s">
        <v>129</v>
      </c>
      <c r="D86" s="194" t="s">
        <v>129</v>
      </c>
      <c r="E86" s="194" t="s">
        <v>129</v>
      </c>
      <c r="F86" s="194" t="s">
        <v>129</v>
      </c>
      <c r="G86" s="194" t="s">
        <v>129</v>
      </c>
      <c r="H86" s="194" t="s">
        <v>129</v>
      </c>
      <c r="I86" s="194" t="s">
        <v>129</v>
      </c>
      <c r="J86" s="194" t="s">
        <v>129</v>
      </c>
      <c r="K86" s="194" t="s">
        <v>129</v>
      </c>
      <c r="L86" s="194" t="s">
        <v>129</v>
      </c>
      <c r="M86" s="297" t="s">
        <v>129</v>
      </c>
      <c r="N86" s="306"/>
    </row>
    <row r="87" spans="1:15" x14ac:dyDescent="0.3">
      <c r="A87" s="280" t="s">
        <v>101</v>
      </c>
      <c r="B87" s="194" t="s">
        <v>129</v>
      </c>
      <c r="C87" s="194" t="s">
        <v>129</v>
      </c>
      <c r="D87" s="194" t="s">
        <v>129</v>
      </c>
      <c r="E87" s="194" t="s">
        <v>129</v>
      </c>
      <c r="F87" s="194" t="s">
        <v>129</v>
      </c>
      <c r="G87" s="194" t="s">
        <v>129</v>
      </c>
      <c r="H87" s="194" t="s">
        <v>129</v>
      </c>
      <c r="I87" s="194" t="s">
        <v>129</v>
      </c>
      <c r="J87" s="194" t="s">
        <v>129</v>
      </c>
      <c r="K87" s="194" t="s">
        <v>129</v>
      </c>
      <c r="L87" s="194" t="s">
        <v>129</v>
      </c>
      <c r="M87" s="297" t="s">
        <v>129</v>
      </c>
      <c r="N87" s="306"/>
    </row>
    <row r="88" spans="1:15" x14ac:dyDescent="0.3">
      <c r="A88" s="280" t="s">
        <v>102</v>
      </c>
      <c r="B88" s="194" t="s">
        <v>129</v>
      </c>
      <c r="C88" s="194" t="s">
        <v>129</v>
      </c>
      <c r="D88" s="194" t="s">
        <v>129</v>
      </c>
      <c r="E88" s="194" t="s">
        <v>129</v>
      </c>
      <c r="F88" s="194" t="s">
        <v>129</v>
      </c>
      <c r="G88" s="194" t="s">
        <v>129</v>
      </c>
      <c r="H88" s="194" t="s">
        <v>129</v>
      </c>
      <c r="I88" s="194" t="s">
        <v>129</v>
      </c>
      <c r="J88" s="194" t="s">
        <v>129</v>
      </c>
      <c r="K88" s="194" t="s">
        <v>129</v>
      </c>
      <c r="L88" s="194" t="s">
        <v>129</v>
      </c>
      <c r="M88" s="297" t="s">
        <v>129</v>
      </c>
      <c r="N88" s="305"/>
    </row>
    <row r="89" spans="1:15" x14ac:dyDescent="0.3">
      <c r="A89" s="280" t="s">
        <v>103</v>
      </c>
      <c r="B89" s="194" t="s">
        <v>129</v>
      </c>
      <c r="C89" s="194" t="s">
        <v>129</v>
      </c>
      <c r="D89" s="194" t="s">
        <v>129</v>
      </c>
      <c r="E89" s="194" t="s">
        <v>129</v>
      </c>
      <c r="F89" s="194" t="s">
        <v>129</v>
      </c>
      <c r="G89" s="194" t="s">
        <v>129</v>
      </c>
      <c r="H89" s="194" t="s">
        <v>129</v>
      </c>
      <c r="I89" s="194" t="s">
        <v>129</v>
      </c>
      <c r="J89" s="194" t="s">
        <v>129</v>
      </c>
      <c r="K89" s="194" t="s">
        <v>129</v>
      </c>
      <c r="L89" s="194" t="s">
        <v>129</v>
      </c>
      <c r="M89" s="297" t="s">
        <v>129</v>
      </c>
      <c r="N89" s="305"/>
    </row>
    <row r="90" spans="1:15" x14ac:dyDescent="0.3">
      <c r="A90" s="283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5"/>
    </row>
    <row r="91" spans="1:15" x14ac:dyDescent="0.3">
      <c r="A91" s="288"/>
      <c r="B91" s="294"/>
      <c r="C91" s="294"/>
      <c r="D91" s="294"/>
      <c r="E91" s="294"/>
      <c r="F91" s="295"/>
      <c r="G91" s="295"/>
      <c r="H91" s="295"/>
      <c r="I91" s="295"/>
      <c r="J91" s="295"/>
      <c r="K91" s="284"/>
      <c r="L91" s="284"/>
      <c r="M91" s="284"/>
      <c r="N91" s="296"/>
    </row>
    <row r="92" spans="1:15" x14ac:dyDescent="0.3">
      <c r="A92" s="307" t="s">
        <v>128</v>
      </c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276"/>
    </row>
    <row r="93" spans="1:15" x14ac:dyDescent="0.3">
      <c r="A93" s="303"/>
      <c r="B93" s="304">
        <v>42552</v>
      </c>
      <c r="C93" s="304">
        <v>42583</v>
      </c>
      <c r="D93" s="304">
        <v>42614</v>
      </c>
      <c r="E93" s="304">
        <v>42644</v>
      </c>
      <c r="F93" s="309">
        <v>42675</v>
      </c>
      <c r="G93" s="309">
        <v>42705</v>
      </c>
      <c r="H93" s="309">
        <v>42736</v>
      </c>
      <c r="I93" s="309">
        <v>42767</v>
      </c>
      <c r="J93" s="309">
        <v>42795</v>
      </c>
      <c r="K93" s="310">
        <v>42826</v>
      </c>
      <c r="L93" s="310">
        <v>42856</v>
      </c>
      <c r="M93" s="310">
        <v>42887</v>
      </c>
      <c r="N93" s="271" t="s">
        <v>96</v>
      </c>
      <c r="O93" s="286"/>
    </row>
    <row r="94" spans="1:15" x14ac:dyDescent="0.3">
      <c r="A94" s="280" t="s">
        <v>97</v>
      </c>
      <c r="B94" s="194">
        <v>0</v>
      </c>
      <c r="C94" s="194">
        <v>12</v>
      </c>
      <c r="D94" s="194">
        <v>37</v>
      </c>
      <c r="E94" s="194">
        <v>7</v>
      </c>
      <c r="F94" s="194">
        <v>6</v>
      </c>
      <c r="G94" s="194">
        <v>0</v>
      </c>
      <c r="H94" s="178">
        <v>10</v>
      </c>
      <c r="I94" s="178">
        <v>12</v>
      </c>
      <c r="J94" s="178">
        <v>2</v>
      </c>
      <c r="K94" s="194">
        <v>0</v>
      </c>
      <c r="L94" s="178">
        <v>4</v>
      </c>
      <c r="M94" s="281">
        <v>0</v>
      </c>
      <c r="N94" s="271">
        <v>90</v>
      </c>
      <c r="O94" s="286"/>
    </row>
    <row r="95" spans="1:15" x14ac:dyDescent="0.3">
      <c r="A95" s="178" t="s">
        <v>98</v>
      </c>
      <c r="B95" s="194">
        <v>0</v>
      </c>
      <c r="C95" s="194">
        <v>171</v>
      </c>
      <c r="D95" s="194">
        <v>680</v>
      </c>
      <c r="E95" s="194">
        <v>120</v>
      </c>
      <c r="F95" s="194">
        <v>87</v>
      </c>
      <c r="G95" s="194">
        <v>0</v>
      </c>
      <c r="H95" s="178">
        <v>187</v>
      </c>
      <c r="I95" s="178">
        <v>256</v>
      </c>
      <c r="J95" s="178">
        <v>19</v>
      </c>
      <c r="K95" s="194">
        <v>0</v>
      </c>
      <c r="L95" s="282">
        <v>74</v>
      </c>
      <c r="M95" s="282">
        <v>0</v>
      </c>
      <c r="N95" s="271">
        <f>SUM(B95:M95)</f>
        <v>1594</v>
      </c>
      <c r="O95" s="286"/>
    </row>
    <row r="96" spans="1:15" ht="28" x14ac:dyDescent="0.3">
      <c r="A96" s="280" t="s">
        <v>99</v>
      </c>
      <c r="B96" s="194">
        <v>0</v>
      </c>
      <c r="C96" s="194">
        <v>12</v>
      </c>
      <c r="D96" s="194">
        <v>37</v>
      </c>
      <c r="E96" s="194">
        <v>6</v>
      </c>
      <c r="F96" s="194">
        <v>6</v>
      </c>
      <c r="G96" s="194">
        <v>0</v>
      </c>
      <c r="H96" s="178">
        <v>10</v>
      </c>
      <c r="I96" s="178">
        <v>12</v>
      </c>
      <c r="J96" s="178">
        <v>2</v>
      </c>
      <c r="K96" s="194">
        <v>0</v>
      </c>
      <c r="L96" s="282">
        <v>1</v>
      </c>
      <c r="M96" s="282">
        <v>0</v>
      </c>
      <c r="N96" s="271">
        <v>86</v>
      </c>
      <c r="O96" s="286"/>
    </row>
    <row r="97" spans="1:15" ht="28" x14ac:dyDescent="0.3">
      <c r="A97" s="280" t="s">
        <v>100</v>
      </c>
      <c r="B97" s="177">
        <v>0</v>
      </c>
      <c r="C97" s="177">
        <v>171</v>
      </c>
      <c r="D97" s="177">
        <v>680</v>
      </c>
      <c r="E97" s="177">
        <v>102</v>
      </c>
      <c r="F97" s="177">
        <v>87</v>
      </c>
      <c r="G97" s="177">
        <v>0</v>
      </c>
      <c r="H97" s="178">
        <v>202</v>
      </c>
      <c r="I97" s="178">
        <v>256</v>
      </c>
      <c r="J97" s="178">
        <v>19</v>
      </c>
      <c r="K97" s="194">
        <v>0</v>
      </c>
      <c r="L97" s="194">
        <v>16</v>
      </c>
      <c r="M97" s="194">
        <v>0</v>
      </c>
      <c r="N97" s="186">
        <v>1533</v>
      </c>
      <c r="O97" s="311"/>
    </row>
    <row r="98" spans="1:15" x14ac:dyDescent="0.3">
      <c r="A98" s="280" t="s">
        <v>101</v>
      </c>
      <c r="B98" s="194">
        <v>0</v>
      </c>
      <c r="C98" s="194">
        <v>0</v>
      </c>
      <c r="D98" s="194">
        <v>0</v>
      </c>
      <c r="E98" s="194">
        <v>1</v>
      </c>
      <c r="F98" s="194">
        <v>0</v>
      </c>
      <c r="G98" s="194">
        <v>0</v>
      </c>
      <c r="H98" s="178">
        <v>0</v>
      </c>
      <c r="I98" s="178">
        <v>0</v>
      </c>
      <c r="J98" s="178">
        <v>0</v>
      </c>
      <c r="K98" s="194">
        <v>0</v>
      </c>
      <c r="L98" s="282">
        <v>3</v>
      </c>
      <c r="M98" s="282">
        <v>0</v>
      </c>
      <c r="N98" s="186">
        <v>4</v>
      </c>
      <c r="O98" s="311"/>
    </row>
    <row r="99" spans="1:15" x14ac:dyDescent="0.3">
      <c r="A99" s="280" t="s">
        <v>102</v>
      </c>
      <c r="B99" s="194">
        <v>0</v>
      </c>
      <c r="C99" s="194">
        <v>0</v>
      </c>
      <c r="D99" s="194">
        <v>0</v>
      </c>
      <c r="E99" s="194">
        <v>18</v>
      </c>
      <c r="F99" s="194">
        <v>0</v>
      </c>
      <c r="G99" s="194">
        <v>0</v>
      </c>
      <c r="H99" s="178">
        <v>0</v>
      </c>
      <c r="I99" s="178">
        <v>0</v>
      </c>
      <c r="J99" s="178">
        <v>0</v>
      </c>
      <c r="K99" s="194">
        <v>0</v>
      </c>
      <c r="L99" s="282">
        <v>58</v>
      </c>
      <c r="M99" s="282">
        <v>0</v>
      </c>
      <c r="N99" s="271">
        <v>76</v>
      </c>
      <c r="O99" s="286"/>
    </row>
    <row r="100" spans="1:15" x14ac:dyDescent="0.3">
      <c r="A100" s="280" t="s">
        <v>103</v>
      </c>
      <c r="B100" s="194" t="s">
        <v>129</v>
      </c>
      <c r="C100" s="194" t="s">
        <v>129</v>
      </c>
      <c r="D100" s="194" t="s">
        <v>129</v>
      </c>
      <c r="E100" s="194" t="s">
        <v>129</v>
      </c>
      <c r="F100" s="194" t="s">
        <v>129</v>
      </c>
      <c r="G100" s="194" t="s">
        <v>129</v>
      </c>
      <c r="H100" s="194" t="s">
        <v>129</v>
      </c>
      <c r="I100" s="194" t="s">
        <v>129</v>
      </c>
      <c r="J100" s="194" t="s">
        <v>129</v>
      </c>
      <c r="K100" s="194" t="s">
        <v>129</v>
      </c>
      <c r="L100" s="194" t="s">
        <v>129</v>
      </c>
      <c r="M100" s="194" t="s">
        <v>129</v>
      </c>
      <c r="N100" s="271"/>
      <c r="O100" s="286"/>
    </row>
    <row r="101" spans="1:15" x14ac:dyDescent="0.3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296"/>
    </row>
  </sheetData>
  <mergeCells count="7">
    <mergeCell ref="A1:N1"/>
    <mergeCell ref="A21:N21"/>
    <mergeCell ref="A39:N39"/>
    <mergeCell ref="A70:N70"/>
    <mergeCell ref="A92:N92"/>
    <mergeCell ref="A81:N81"/>
    <mergeCell ref="A57:N57"/>
  </mergeCells>
  <pageMargins left="0.7" right="0.7" top="0.75" bottom="0.75" header="0.3" footer="0.3"/>
  <pageSetup orientation="portrait" r:id="rId1"/>
  <ignoredErrors>
    <ignoredError sqref="D7 G7:H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workbookViewId="0">
      <selection activeCell="C13" sqref="C13"/>
    </sheetView>
  </sheetViews>
  <sheetFormatPr defaultRowHeight="14" x14ac:dyDescent="0.3"/>
  <cols>
    <col min="1" max="1" width="18.453125" style="1" customWidth="1"/>
    <col min="2" max="2" width="11.81640625" style="1" customWidth="1"/>
    <col min="3" max="3" width="9.26953125" style="1" customWidth="1"/>
    <col min="4" max="4" width="9.08984375" style="1" customWidth="1"/>
    <col min="5" max="5" width="9" style="1" customWidth="1"/>
    <col min="6" max="6" width="9.81640625" style="1" bestFit="1" customWidth="1"/>
    <col min="7" max="7" width="9.7265625" style="1" customWidth="1"/>
    <col min="8" max="8" width="10.1796875" style="1" customWidth="1"/>
    <col min="9" max="9" width="9.1796875" style="1" customWidth="1"/>
    <col min="10" max="13" width="10.1796875" style="1" customWidth="1"/>
    <col min="14" max="14" width="8.7265625" style="1" customWidth="1"/>
    <col min="15" max="16384" width="8.7265625" style="1"/>
  </cols>
  <sheetData>
    <row r="1" spans="1:14" s="220" customFormat="1" ht="15.5" x14ac:dyDescent="0.35">
      <c r="A1" s="256" t="s">
        <v>254</v>
      </c>
      <c r="B1" s="257"/>
      <c r="C1" s="257"/>
      <c r="D1" s="257"/>
      <c r="E1" s="257"/>
      <c r="F1" s="257"/>
    </row>
    <row r="2" spans="1:14" x14ac:dyDescent="0.3">
      <c r="A2" s="258"/>
      <c r="B2" s="117"/>
      <c r="C2" s="117"/>
      <c r="D2" s="117"/>
      <c r="E2" s="117"/>
      <c r="F2" s="117"/>
    </row>
    <row r="3" spans="1:14" s="44" customFormat="1" x14ac:dyDescent="0.3">
      <c r="A3" s="240" t="s">
        <v>46</v>
      </c>
      <c r="B3" s="61" t="s">
        <v>141</v>
      </c>
      <c r="C3" s="61" t="s">
        <v>122</v>
      </c>
      <c r="D3" s="61" t="s">
        <v>123</v>
      </c>
      <c r="E3" s="61" t="s">
        <v>127</v>
      </c>
      <c r="F3" s="61" t="s">
        <v>139</v>
      </c>
      <c r="G3" s="61" t="s">
        <v>157</v>
      </c>
      <c r="H3" s="61" t="s">
        <v>170</v>
      </c>
      <c r="I3" s="61" t="s">
        <v>181</v>
      </c>
      <c r="J3" s="61" t="s">
        <v>205</v>
      </c>
      <c r="K3" s="63" t="s">
        <v>233</v>
      </c>
      <c r="L3" s="61" t="s">
        <v>0</v>
      </c>
    </row>
    <row r="4" spans="1:14" x14ac:dyDescent="0.3">
      <c r="A4" s="56" t="s">
        <v>45</v>
      </c>
      <c r="B4" s="70">
        <v>250709</v>
      </c>
      <c r="C4" s="70">
        <v>155902</v>
      </c>
      <c r="D4" s="70">
        <v>72940</v>
      </c>
      <c r="E4" s="70">
        <v>150000</v>
      </c>
      <c r="F4" s="70">
        <v>82371</v>
      </c>
      <c r="G4" s="70">
        <v>65561</v>
      </c>
      <c r="H4" s="70">
        <v>59567</v>
      </c>
      <c r="I4" s="70">
        <v>50844</v>
      </c>
      <c r="J4" s="167">
        <v>66721</v>
      </c>
      <c r="K4" s="211">
        <v>107240</v>
      </c>
      <c r="L4" s="241">
        <f t="shared" ref="L4:L5" si="0">(K4-J4)/J4</f>
        <v>0.60729005860223917</v>
      </c>
    </row>
    <row r="5" spans="1:14" x14ac:dyDescent="0.3">
      <c r="A5" s="56" t="s">
        <v>44</v>
      </c>
      <c r="B5" s="70">
        <v>137266</v>
      </c>
      <c r="C5" s="70">
        <v>86707</v>
      </c>
      <c r="D5" s="70">
        <v>23179</v>
      </c>
      <c r="E5" s="70">
        <v>23205</v>
      </c>
      <c r="F5" s="70">
        <v>27856</v>
      </c>
      <c r="G5" s="70">
        <v>19696</v>
      </c>
      <c r="H5" s="70">
        <v>18987</v>
      </c>
      <c r="I5" s="70">
        <v>22829</v>
      </c>
      <c r="J5" s="167">
        <v>32146</v>
      </c>
      <c r="K5" s="211">
        <v>79914</v>
      </c>
      <c r="L5" s="241">
        <f t="shared" si="0"/>
        <v>1.4859702606856218</v>
      </c>
    </row>
    <row r="6" spans="1:14" x14ac:dyDescent="0.3">
      <c r="A6" s="56" t="s">
        <v>43</v>
      </c>
      <c r="B6" s="70">
        <v>421037</v>
      </c>
      <c r="C6" s="70">
        <v>276253</v>
      </c>
      <c r="D6" s="71" t="s">
        <v>119</v>
      </c>
      <c r="E6" s="70">
        <v>457000</v>
      </c>
      <c r="F6" s="70">
        <v>254165</v>
      </c>
      <c r="G6" s="70">
        <v>162052</v>
      </c>
      <c r="H6" s="70">
        <v>86454</v>
      </c>
      <c r="I6" s="70">
        <v>77794</v>
      </c>
      <c r="J6" s="167">
        <v>95234</v>
      </c>
      <c r="K6" s="211">
        <v>131677</v>
      </c>
      <c r="L6" s="241">
        <f>(K6-J6)/J6</f>
        <v>0.38266795472205306</v>
      </c>
    </row>
    <row r="7" spans="1:14" x14ac:dyDescent="0.3">
      <c r="A7" s="56" t="s">
        <v>42</v>
      </c>
      <c r="B7" s="81">
        <v>1.7</v>
      </c>
      <c r="C7" s="81">
        <v>1.77</v>
      </c>
      <c r="D7" s="212" t="s">
        <v>119</v>
      </c>
      <c r="E7" s="212" t="s">
        <v>119</v>
      </c>
      <c r="F7" s="212" t="s">
        <v>119</v>
      </c>
      <c r="G7" s="212">
        <v>2.4700000000000002</v>
      </c>
      <c r="H7" s="212">
        <v>1.5</v>
      </c>
      <c r="I7" s="212">
        <v>1.54</v>
      </c>
      <c r="J7" s="213">
        <v>1.43</v>
      </c>
      <c r="K7" s="214">
        <v>1.24</v>
      </c>
      <c r="L7" s="241">
        <f>(K7-J7)/J7</f>
        <v>-0.13286713286713284</v>
      </c>
    </row>
    <row r="8" spans="1:14" x14ac:dyDescent="0.3">
      <c r="N8" s="3"/>
    </row>
    <row r="9" spans="1:14" x14ac:dyDescent="0.3">
      <c r="A9" s="38" t="s">
        <v>258</v>
      </c>
      <c r="B9" s="63" t="s">
        <v>233</v>
      </c>
      <c r="N9" s="3"/>
    </row>
    <row r="10" spans="1:14" x14ac:dyDescent="0.3">
      <c r="A10" s="38" t="s">
        <v>259</v>
      </c>
      <c r="B10" s="211">
        <v>329</v>
      </c>
      <c r="N10" s="3"/>
    </row>
    <row r="11" spans="1:14" x14ac:dyDescent="0.3">
      <c r="A11" s="38" t="s">
        <v>260</v>
      </c>
      <c r="B11" s="211">
        <v>76443</v>
      </c>
    </row>
    <row r="12" spans="1:14" x14ac:dyDescent="0.3">
      <c r="A12" s="38" t="s">
        <v>261</v>
      </c>
      <c r="B12" s="211">
        <v>9202</v>
      </c>
    </row>
    <row r="13" spans="1:14" x14ac:dyDescent="0.3">
      <c r="A13" s="38" t="s">
        <v>262</v>
      </c>
      <c r="B13" s="211">
        <v>69283</v>
      </c>
    </row>
    <row r="14" spans="1:14" x14ac:dyDescent="0.3">
      <c r="A14" s="41"/>
      <c r="B14" s="355"/>
    </row>
    <row r="15" spans="1:14" x14ac:dyDescent="0.3">
      <c r="A15" s="41"/>
      <c r="B15" s="107"/>
    </row>
    <row r="17" spans="1:14" s="50" customFormat="1" ht="28" x14ac:dyDescent="0.3">
      <c r="A17" s="159" t="s">
        <v>46</v>
      </c>
      <c r="B17" s="242" t="s">
        <v>8</v>
      </c>
      <c r="C17" s="242" t="s">
        <v>45</v>
      </c>
      <c r="D17" s="242" t="s">
        <v>44</v>
      </c>
      <c r="E17" s="242" t="s">
        <v>43</v>
      </c>
      <c r="F17" s="242" t="s">
        <v>47</v>
      </c>
      <c r="G17" s="243"/>
      <c r="H17" s="243"/>
      <c r="I17" s="243"/>
      <c r="J17" s="243"/>
      <c r="K17" s="243"/>
      <c r="L17" s="243"/>
      <c r="M17" s="243"/>
    </row>
    <row r="18" spans="1:14" x14ac:dyDescent="0.3">
      <c r="B18" s="56" t="s">
        <v>12</v>
      </c>
      <c r="C18" s="244">
        <v>5498</v>
      </c>
      <c r="D18" s="244">
        <v>4368</v>
      </c>
      <c r="E18" s="244">
        <v>6746</v>
      </c>
      <c r="F18" s="245">
        <f t="shared" ref="F18:F29" si="1">E18/C18</f>
        <v>1.2269916333212076</v>
      </c>
      <c r="G18" s="246"/>
      <c r="H18" s="77" t="s">
        <v>150</v>
      </c>
      <c r="I18" s="246"/>
      <c r="J18" s="246"/>
      <c r="K18" s="246"/>
      <c r="L18" s="246"/>
      <c r="M18" s="246"/>
      <c r="N18" s="77"/>
    </row>
    <row r="19" spans="1:14" x14ac:dyDescent="0.3">
      <c r="B19" s="56" t="s">
        <v>13</v>
      </c>
      <c r="C19" s="244">
        <v>23392</v>
      </c>
      <c r="D19" s="244">
        <v>20819</v>
      </c>
      <c r="E19" s="244">
        <v>26321</v>
      </c>
      <c r="F19" s="245">
        <f t="shared" si="1"/>
        <v>1.1252137482900137</v>
      </c>
      <c r="G19" s="246"/>
      <c r="H19" s="77" t="s">
        <v>151</v>
      </c>
      <c r="I19" s="246"/>
      <c r="J19" s="246"/>
      <c r="K19" s="246"/>
      <c r="L19" s="246"/>
      <c r="M19" s="246"/>
      <c r="N19" s="77"/>
    </row>
    <row r="20" spans="1:14" x14ac:dyDescent="0.3">
      <c r="B20" s="56" t="s">
        <v>14</v>
      </c>
      <c r="C20" s="244">
        <v>10137</v>
      </c>
      <c r="D20" s="244">
        <v>7024</v>
      </c>
      <c r="E20" s="244">
        <v>12963</v>
      </c>
      <c r="F20" s="245">
        <f t="shared" si="1"/>
        <v>1.2787807043503996</v>
      </c>
      <c r="H20" s="77" t="s">
        <v>152</v>
      </c>
      <c r="I20" s="246"/>
      <c r="J20" s="246"/>
      <c r="K20" s="246"/>
      <c r="L20" s="246"/>
      <c r="M20" s="246"/>
      <c r="N20" s="77"/>
    </row>
    <row r="21" spans="1:14" x14ac:dyDescent="0.3">
      <c r="B21" s="56" t="s">
        <v>15</v>
      </c>
      <c r="C21" s="244">
        <v>9068</v>
      </c>
      <c r="D21" s="244">
        <v>6041</v>
      </c>
      <c r="E21" s="244">
        <v>11597</v>
      </c>
      <c r="F21" s="245">
        <f t="shared" si="1"/>
        <v>1.2788928098808998</v>
      </c>
      <c r="H21" s="77" t="s">
        <v>153</v>
      </c>
      <c r="I21" s="246"/>
      <c r="J21" s="246"/>
      <c r="K21" s="246"/>
      <c r="L21" s="246"/>
      <c r="M21" s="246"/>
      <c r="N21" s="77"/>
    </row>
    <row r="22" spans="1:14" x14ac:dyDescent="0.3">
      <c r="B22" s="56" t="s">
        <v>16</v>
      </c>
      <c r="C22" s="244">
        <v>8375</v>
      </c>
      <c r="D22" s="244">
        <v>5167</v>
      </c>
      <c r="E22" s="244">
        <v>10686</v>
      </c>
      <c r="F22" s="245">
        <f t="shared" si="1"/>
        <v>1.2759402985074626</v>
      </c>
      <c r="I22" s="246"/>
      <c r="J22" s="246"/>
      <c r="K22" s="246"/>
      <c r="L22" s="246"/>
      <c r="M22" s="246"/>
      <c r="N22" s="77"/>
    </row>
    <row r="23" spans="1:14" x14ac:dyDescent="0.3">
      <c r="B23" s="56" t="s">
        <v>17</v>
      </c>
      <c r="C23" s="244">
        <v>5899</v>
      </c>
      <c r="D23" s="244">
        <v>4779</v>
      </c>
      <c r="E23" s="244">
        <v>7082</v>
      </c>
      <c r="F23" s="245">
        <f t="shared" si="1"/>
        <v>1.2005424648245466</v>
      </c>
      <c r="H23" s="77"/>
      <c r="I23" s="246"/>
      <c r="J23" s="246"/>
      <c r="K23" s="246"/>
      <c r="L23" s="246"/>
      <c r="M23" s="246"/>
      <c r="N23" s="77"/>
    </row>
    <row r="24" spans="1:14" x14ac:dyDescent="0.3">
      <c r="B24" s="56" t="s">
        <v>18</v>
      </c>
      <c r="C24" s="244">
        <v>8588</v>
      </c>
      <c r="D24" s="244">
        <v>5955</v>
      </c>
      <c r="E24" s="244">
        <v>11151</v>
      </c>
      <c r="F24" s="245">
        <f t="shared" si="1"/>
        <v>1.298439683278994</v>
      </c>
      <c r="G24" s="246"/>
      <c r="H24" s="77"/>
      <c r="I24" s="246"/>
      <c r="J24" s="246"/>
      <c r="K24" s="246"/>
      <c r="L24" s="246"/>
      <c r="M24" s="246"/>
      <c r="N24" s="77"/>
    </row>
    <row r="25" spans="1:14" x14ac:dyDescent="0.3">
      <c r="B25" s="56" t="s">
        <v>19</v>
      </c>
      <c r="C25" s="244">
        <v>7946</v>
      </c>
      <c r="D25" s="247">
        <v>5308</v>
      </c>
      <c r="E25" s="244">
        <v>10354</v>
      </c>
      <c r="F25" s="245">
        <f t="shared" si="1"/>
        <v>1.3030455575132143</v>
      </c>
      <c r="G25" s="246"/>
      <c r="H25" s="77"/>
      <c r="I25" s="246"/>
      <c r="J25" s="246"/>
      <c r="K25" s="246"/>
      <c r="L25" s="246"/>
      <c r="M25" s="246"/>
      <c r="N25" s="77"/>
    </row>
    <row r="26" spans="1:14" x14ac:dyDescent="0.3">
      <c r="B26" s="56" t="s">
        <v>48</v>
      </c>
      <c r="C26" s="244">
        <v>8461</v>
      </c>
      <c r="D26" s="244">
        <v>5671</v>
      </c>
      <c r="E26" s="244">
        <v>10545</v>
      </c>
      <c r="F26" s="245">
        <f t="shared" si="1"/>
        <v>1.2463065831462001</v>
      </c>
      <c r="G26" s="246"/>
      <c r="H26" s="77"/>
      <c r="I26" s="246"/>
      <c r="J26" s="246"/>
      <c r="K26" s="246"/>
      <c r="L26" s="246"/>
      <c r="M26" s="246"/>
    </row>
    <row r="27" spans="1:14" x14ac:dyDescent="0.3">
      <c r="B27" s="56" t="s">
        <v>21</v>
      </c>
      <c r="C27" s="244">
        <v>8510</v>
      </c>
      <c r="D27" s="244">
        <v>5700</v>
      </c>
      <c r="E27" s="244">
        <v>10376</v>
      </c>
      <c r="F27" s="245">
        <f t="shared" si="1"/>
        <v>1.2192714453584019</v>
      </c>
      <c r="G27" s="246"/>
      <c r="H27" s="77"/>
      <c r="I27" s="246"/>
      <c r="J27" s="246"/>
      <c r="K27" s="246"/>
      <c r="L27" s="246"/>
      <c r="M27" s="246"/>
    </row>
    <row r="28" spans="1:14" x14ac:dyDescent="0.3">
      <c r="B28" s="56" t="s">
        <v>22</v>
      </c>
      <c r="C28" s="244">
        <v>5856</v>
      </c>
      <c r="D28" s="244">
        <v>4644</v>
      </c>
      <c r="E28" s="244">
        <v>7186</v>
      </c>
      <c r="F28" s="245">
        <f t="shared" si="1"/>
        <v>1.2271174863387979</v>
      </c>
      <c r="G28" s="246"/>
      <c r="H28" s="77"/>
      <c r="I28" s="246"/>
      <c r="J28" s="246"/>
      <c r="K28" s="246"/>
      <c r="L28" s="246"/>
      <c r="M28" s="246"/>
    </row>
    <row r="29" spans="1:14" x14ac:dyDescent="0.3">
      <c r="B29" s="56" t="s">
        <v>23</v>
      </c>
      <c r="C29" s="244">
        <v>5510</v>
      </c>
      <c r="D29" s="244">
        <v>4438</v>
      </c>
      <c r="E29" s="244">
        <v>6670</v>
      </c>
      <c r="F29" s="245">
        <f t="shared" si="1"/>
        <v>1.2105263157894737</v>
      </c>
      <c r="G29" s="246"/>
      <c r="H29" s="77"/>
      <c r="I29" s="246"/>
      <c r="J29" s="246"/>
      <c r="K29" s="246"/>
      <c r="L29" s="246"/>
      <c r="M29" s="246"/>
    </row>
    <row r="30" spans="1:14" x14ac:dyDescent="0.3">
      <c r="B30" s="148" t="s">
        <v>24</v>
      </c>
      <c r="C30" s="248">
        <f>SUM(C18:C29)</f>
        <v>107240</v>
      </c>
      <c r="D30" s="249">
        <f>SUM(D18:D29)</f>
        <v>79914</v>
      </c>
      <c r="E30" s="248">
        <f>SUM(E18:E29)</f>
        <v>131677</v>
      </c>
      <c r="F30" s="250">
        <f>SUM(F18:F29)/12</f>
        <v>1.2409223942166343</v>
      </c>
      <c r="G30" s="251"/>
      <c r="H30" s="77"/>
      <c r="I30" s="252"/>
      <c r="J30" s="252"/>
      <c r="K30" s="252"/>
      <c r="L30" s="252"/>
      <c r="M30" s="252"/>
    </row>
    <row r="34" spans="1:13" s="50" customFormat="1" ht="28" x14ac:dyDescent="0.3">
      <c r="A34" s="159" t="s">
        <v>49</v>
      </c>
      <c r="B34" s="242" t="s">
        <v>8</v>
      </c>
      <c r="C34" s="242" t="s">
        <v>45</v>
      </c>
      <c r="D34" s="242" t="s">
        <v>44</v>
      </c>
      <c r="E34" s="242" t="s">
        <v>43</v>
      </c>
      <c r="F34" s="242" t="s">
        <v>47</v>
      </c>
      <c r="G34" s="243"/>
      <c r="H34" s="243"/>
      <c r="I34" s="243"/>
      <c r="J34" s="243"/>
      <c r="K34" s="243"/>
      <c r="L34" s="243"/>
      <c r="M34" s="243"/>
    </row>
    <row r="35" spans="1:13" x14ac:dyDescent="0.3">
      <c r="A35" s="14"/>
      <c r="B35" s="56" t="s">
        <v>12</v>
      </c>
      <c r="C35" s="244">
        <v>324</v>
      </c>
      <c r="D35" s="253">
        <v>206</v>
      </c>
      <c r="E35" s="244">
        <v>5589</v>
      </c>
      <c r="F35" s="253">
        <f>E35/C35</f>
        <v>17.25</v>
      </c>
      <c r="G35" s="254"/>
      <c r="H35" s="246"/>
      <c r="I35" s="246"/>
      <c r="J35" s="246"/>
      <c r="K35" s="246"/>
      <c r="L35" s="246"/>
      <c r="M35" s="246"/>
    </row>
    <row r="36" spans="1:13" x14ac:dyDescent="0.3">
      <c r="A36" s="14"/>
      <c r="B36" s="56" t="s">
        <v>13</v>
      </c>
      <c r="C36" s="244">
        <v>419</v>
      </c>
      <c r="D36" s="253">
        <v>240</v>
      </c>
      <c r="E36" s="244">
        <v>10392</v>
      </c>
      <c r="F36" s="245">
        <f t="shared" ref="F36:F46" si="2">E36/C36</f>
        <v>24.801909307875896</v>
      </c>
      <c r="G36" s="254"/>
      <c r="H36" s="246"/>
      <c r="I36" s="246"/>
      <c r="J36" s="246"/>
      <c r="K36" s="246"/>
      <c r="L36" s="246"/>
      <c r="M36" s="246"/>
    </row>
    <row r="37" spans="1:13" x14ac:dyDescent="0.3">
      <c r="A37" s="14"/>
      <c r="B37" s="56" t="s">
        <v>14</v>
      </c>
      <c r="C37" s="244">
        <v>315</v>
      </c>
      <c r="D37" s="253">
        <v>199</v>
      </c>
      <c r="E37" s="244">
        <v>7742</v>
      </c>
      <c r="F37" s="245">
        <f t="shared" si="2"/>
        <v>24.577777777777779</v>
      </c>
      <c r="G37" s="254"/>
      <c r="H37" s="246"/>
      <c r="I37" s="246"/>
      <c r="J37" s="246"/>
      <c r="K37" s="246"/>
      <c r="L37" s="246"/>
      <c r="M37" s="246"/>
    </row>
    <row r="38" spans="1:13" x14ac:dyDescent="0.3">
      <c r="A38" s="14"/>
      <c r="B38" s="56" t="s">
        <v>15</v>
      </c>
      <c r="C38" s="244">
        <v>502</v>
      </c>
      <c r="D38" s="244">
        <v>317</v>
      </c>
      <c r="E38" s="244">
        <v>11186</v>
      </c>
      <c r="F38" s="245">
        <f t="shared" si="2"/>
        <v>22.282868525896415</v>
      </c>
      <c r="G38" s="254"/>
      <c r="H38" s="246"/>
      <c r="I38" s="246"/>
      <c r="J38" s="246"/>
      <c r="K38" s="246"/>
      <c r="L38" s="246"/>
      <c r="M38" s="246"/>
    </row>
    <row r="39" spans="1:13" x14ac:dyDescent="0.3">
      <c r="A39" s="14"/>
      <c r="B39" s="56" t="s">
        <v>16</v>
      </c>
      <c r="C39" s="244">
        <v>997</v>
      </c>
      <c r="D39" s="244">
        <v>860</v>
      </c>
      <c r="E39" s="244">
        <v>11396</v>
      </c>
      <c r="F39" s="245">
        <f t="shared" si="2"/>
        <v>11.430290872617853</v>
      </c>
      <c r="G39" s="254"/>
      <c r="H39" s="246"/>
      <c r="I39" s="246"/>
      <c r="J39" s="246"/>
      <c r="K39" s="246"/>
      <c r="L39" s="246"/>
      <c r="M39" s="246"/>
    </row>
    <row r="40" spans="1:13" x14ac:dyDescent="0.3">
      <c r="A40" s="14"/>
      <c r="B40" s="56" t="s">
        <v>17</v>
      </c>
      <c r="C40" s="253">
        <v>561</v>
      </c>
      <c r="D40" s="253">
        <v>511</v>
      </c>
      <c r="E40" s="244">
        <v>6932</v>
      </c>
      <c r="F40" s="245">
        <f t="shared" si="2"/>
        <v>12.356506238859181</v>
      </c>
      <c r="G40" s="254"/>
      <c r="H40" s="246"/>
      <c r="I40" s="246"/>
      <c r="J40" s="246"/>
      <c r="K40" s="246"/>
      <c r="L40" s="246"/>
      <c r="M40" s="246"/>
    </row>
    <row r="41" spans="1:13" x14ac:dyDescent="0.3">
      <c r="A41" s="14"/>
      <c r="B41" s="56" t="s">
        <v>18</v>
      </c>
      <c r="C41" s="253">
        <v>415</v>
      </c>
      <c r="D41" s="253">
        <v>271</v>
      </c>
      <c r="E41" s="244">
        <v>7739</v>
      </c>
      <c r="F41" s="245">
        <f t="shared" si="2"/>
        <v>18.648192771084336</v>
      </c>
      <c r="G41" s="254"/>
      <c r="H41" s="246"/>
      <c r="I41" s="246"/>
      <c r="J41" s="246"/>
      <c r="K41" s="246"/>
      <c r="L41" s="246"/>
      <c r="M41" s="246"/>
    </row>
    <row r="42" spans="1:13" x14ac:dyDescent="0.3">
      <c r="A42" s="14"/>
      <c r="B42" s="56" t="s">
        <v>19</v>
      </c>
      <c r="C42" s="253">
        <v>324</v>
      </c>
      <c r="D42" s="253">
        <v>207</v>
      </c>
      <c r="E42" s="244">
        <v>5661</v>
      </c>
      <c r="F42" s="245">
        <f t="shared" si="2"/>
        <v>17.472222222222221</v>
      </c>
      <c r="G42" s="254"/>
      <c r="H42" s="246"/>
      <c r="I42" s="246"/>
      <c r="J42" s="246"/>
      <c r="K42" s="246"/>
      <c r="L42" s="246"/>
      <c r="M42" s="246"/>
    </row>
    <row r="43" spans="1:13" x14ac:dyDescent="0.3">
      <c r="A43" s="14"/>
      <c r="B43" s="56" t="s">
        <v>48</v>
      </c>
      <c r="C43" s="253">
        <v>406</v>
      </c>
      <c r="D43" s="253">
        <v>260</v>
      </c>
      <c r="E43" s="244">
        <v>6519</v>
      </c>
      <c r="F43" s="245">
        <f t="shared" si="2"/>
        <v>16.05665024630542</v>
      </c>
      <c r="G43" s="254"/>
      <c r="H43" s="246"/>
      <c r="I43" s="246"/>
      <c r="J43" s="246"/>
      <c r="K43" s="246"/>
      <c r="L43" s="246"/>
      <c r="M43" s="246"/>
    </row>
    <row r="44" spans="1:13" x14ac:dyDescent="0.3">
      <c r="A44" s="14"/>
      <c r="B44" s="56" t="s">
        <v>21</v>
      </c>
      <c r="C44" s="253">
        <v>485</v>
      </c>
      <c r="D44" s="253">
        <v>264</v>
      </c>
      <c r="E44" s="244">
        <v>8736</v>
      </c>
      <c r="F44" s="245">
        <f t="shared" si="2"/>
        <v>18.012371134020619</v>
      </c>
      <c r="G44" s="254"/>
      <c r="H44" s="246"/>
      <c r="I44" s="246"/>
      <c r="J44" s="246"/>
      <c r="K44" s="246"/>
      <c r="L44" s="246"/>
      <c r="M44" s="246"/>
    </row>
    <row r="45" spans="1:13" x14ac:dyDescent="0.3">
      <c r="A45" s="14"/>
      <c r="B45" s="56" t="s">
        <v>22</v>
      </c>
      <c r="C45" s="253">
        <v>519</v>
      </c>
      <c r="D45" s="253">
        <v>300</v>
      </c>
      <c r="E45" s="244">
        <v>9719</v>
      </c>
      <c r="F45" s="245">
        <f t="shared" si="2"/>
        <v>18.726396917148364</v>
      </c>
      <c r="G45" s="254"/>
      <c r="H45" s="246"/>
      <c r="I45" s="246"/>
      <c r="J45" s="246"/>
      <c r="K45" s="246"/>
      <c r="L45" s="246"/>
      <c r="M45" s="246"/>
    </row>
    <row r="46" spans="1:13" x14ac:dyDescent="0.3">
      <c r="A46" s="14"/>
      <c r="B46" s="56" t="s">
        <v>23</v>
      </c>
      <c r="C46" s="253">
        <v>436</v>
      </c>
      <c r="D46" s="253">
        <v>262</v>
      </c>
      <c r="E46" s="244">
        <v>9143</v>
      </c>
      <c r="F46" s="245">
        <f t="shared" si="2"/>
        <v>20.970183486238533</v>
      </c>
      <c r="G46" s="254"/>
      <c r="H46" s="246"/>
      <c r="I46" s="246"/>
      <c r="J46" s="246"/>
      <c r="K46" s="246"/>
      <c r="L46" s="246"/>
      <c r="M46" s="246"/>
    </row>
    <row r="47" spans="1:13" x14ac:dyDescent="0.3">
      <c r="A47" s="14"/>
      <c r="B47" s="148" t="s">
        <v>24</v>
      </c>
      <c r="C47" s="248">
        <f>SUM(C35:C46)</f>
        <v>5703</v>
      </c>
      <c r="D47" s="248">
        <f>SUM(D35:D46)</f>
        <v>3897</v>
      </c>
      <c r="E47" s="248">
        <f>SUM(E35:E46)</f>
        <v>100754</v>
      </c>
      <c r="F47" s="250">
        <f>SUM(F35:F46)/12</f>
        <v>18.548780791670556</v>
      </c>
      <c r="G47" s="255"/>
      <c r="H47" s="252"/>
      <c r="I47" s="252"/>
      <c r="J47" s="252"/>
      <c r="K47" s="252"/>
      <c r="L47" s="252"/>
      <c r="M47" s="252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1"/>
  <sheetViews>
    <sheetView workbookViewId="0">
      <selection activeCell="A2" sqref="A2"/>
    </sheetView>
  </sheetViews>
  <sheetFormatPr defaultRowHeight="14.5" x14ac:dyDescent="0.35"/>
  <cols>
    <col min="1" max="1" width="9.81640625" style="237" bestFit="1" customWidth="1"/>
    <col min="2" max="2" width="8" style="237" customWidth="1"/>
    <col min="3" max="7" width="8" style="237" bestFit="1" customWidth="1"/>
    <col min="8" max="8" width="7.81640625" style="237" customWidth="1"/>
    <col min="9" max="9" width="8.54296875" style="237" customWidth="1"/>
    <col min="10" max="10" width="8.26953125" style="237" customWidth="1"/>
    <col min="11" max="12" width="7.90625" style="237" customWidth="1"/>
    <col min="13" max="13" width="8.1796875" style="237" bestFit="1" customWidth="1"/>
    <col min="14" max="14" width="7.90625" style="237" customWidth="1"/>
    <col min="15" max="15" width="9.26953125" style="237" customWidth="1"/>
    <col min="16" max="16" width="8.08984375" style="237" customWidth="1"/>
    <col min="17" max="17" width="7.54296875" style="237" customWidth="1"/>
    <col min="18" max="18" width="8.81640625" style="237" customWidth="1"/>
    <col min="19" max="16384" width="8.7265625" style="237"/>
  </cols>
  <sheetData>
    <row r="1" spans="1:15" s="220" customFormat="1" ht="15.5" x14ac:dyDescent="0.35">
      <c r="A1" s="238" t="s">
        <v>253</v>
      </c>
      <c r="B1" s="238"/>
      <c r="C1" s="239"/>
      <c r="D1" s="239"/>
      <c r="E1" s="239"/>
    </row>
    <row r="2" spans="1:15" s="1" customFormat="1" ht="14" x14ac:dyDescent="0.3"/>
    <row r="3" spans="1:15" s="44" customFormat="1" ht="14" x14ac:dyDescent="0.3">
      <c r="A3" s="193" t="s">
        <v>8</v>
      </c>
      <c r="B3" s="193" t="s">
        <v>9</v>
      </c>
      <c r="C3" s="193" t="s">
        <v>25</v>
      </c>
      <c r="D3" s="193" t="s">
        <v>140</v>
      </c>
      <c r="E3" s="193" t="s">
        <v>141</v>
      </c>
      <c r="F3" s="193" t="s">
        <v>122</v>
      </c>
      <c r="G3" s="193" t="s">
        <v>123</v>
      </c>
      <c r="H3" s="193" t="s">
        <v>127</v>
      </c>
      <c r="I3" s="193" t="s">
        <v>139</v>
      </c>
      <c r="J3" s="193" t="s">
        <v>157</v>
      </c>
      <c r="K3" s="193" t="s">
        <v>170</v>
      </c>
      <c r="L3" s="193" t="s">
        <v>181</v>
      </c>
      <c r="M3" s="210" t="s">
        <v>205</v>
      </c>
      <c r="N3" s="63" t="s">
        <v>233</v>
      </c>
      <c r="O3" s="193" t="s">
        <v>0</v>
      </c>
    </row>
    <row r="4" spans="1:15" s="1" customFormat="1" ht="14" x14ac:dyDescent="0.3">
      <c r="A4" s="2" t="s">
        <v>12</v>
      </c>
      <c r="B4" s="70">
        <v>1625</v>
      </c>
      <c r="C4" s="70">
        <v>1718</v>
      </c>
      <c r="D4" s="70">
        <v>2445</v>
      </c>
      <c r="E4" s="70">
        <v>2853</v>
      </c>
      <c r="F4" s="70">
        <v>3427</v>
      </c>
      <c r="G4" s="70">
        <v>3506</v>
      </c>
      <c r="H4" s="70">
        <v>3392</v>
      </c>
      <c r="I4" s="226">
        <v>3653</v>
      </c>
      <c r="J4" s="226">
        <v>2782</v>
      </c>
      <c r="K4" s="167">
        <v>3363</v>
      </c>
      <c r="L4" s="227">
        <v>0</v>
      </c>
      <c r="M4" s="228">
        <v>1767</v>
      </c>
      <c r="N4" s="149">
        <v>2685</v>
      </c>
      <c r="O4" s="229">
        <f>(N4-M4)/N4</f>
        <v>0.3418994413407821</v>
      </c>
    </row>
    <row r="5" spans="1:15" s="1" customFormat="1" ht="14" x14ac:dyDescent="0.3">
      <c r="A5" s="2" t="s">
        <v>13</v>
      </c>
      <c r="B5" s="70">
        <v>12826</v>
      </c>
      <c r="C5" s="70">
        <v>10536</v>
      </c>
      <c r="D5" s="70">
        <v>13422</v>
      </c>
      <c r="E5" s="70">
        <v>13673</v>
      </c>
      <c r="F5" s="70">
        <v>13530</v>
      </c>
      <c r="G5" s="70">
        <v>20050</v>
      </c>
      <c r="H5" s="70">
        <v>13096</v>
      </c>
      <c r="I5" s="70">
        <v>13479</v>
      </c>
      <c r="J5" s="70">
        <v>13294</v>
      </c>
      <c r="K5" s="167">
        <v>12682</v>
      </c>
      <c r="L5" s="227">
        <v>4973</v>
      </c>
      <c r="M5" s="228">
        <v>8242</v>
      </c>
      <c r="N5" s="149">
        <v>11045</v>
      </c>
      <c r="O5" s="229">
        <f>(N5-M5)/N5</f>
        <v>0.25377999094612946</v>
      </c>
    </row>
    <row r="6" spans="1:15" s="1" customFormat="1" ht="14" x14ac:dyDescent="0.3">
      <c r="A6" s="2" t="s">
        <v>14</v>
      </c>
      <c r="B6" s="70">
        <v>20658</v>
      </c>
      <c r="C6" s="70">
        <v>23638</v>
      </c>
      <c r="D6" s="70">
        <v>26680</v>
      </c>
      <c r="E6" s="70">
        <v>29591</v>
      </c>
      <c r="F6" s="70">
        <v>31012</v>
      </c>
      <c r="G6" s="70">
        <v>33538</v>
      </c>
      <c r="H6" s="70">
        <v>36026</v>
      </c>
      <c r="I6" s="70">
        <v>23551</v>
      </c>
      <c r="J6" s="70">
        <v>31557</v>
      </c>
      <c r="K6" s="167">
        <v>26129</v>
      </c>
      <c r="L6" s="227">
        <v>5666</v>
      </c>
      <c r="M6" s="228">
        <v>14811</v>
      </c>
      <c r="N6" s="149">
        <v>14601</v>
      </c>
      <c r="O6" s="229">
        <f t="shared" ref="O6:O15" si="0">(N6-M6)/N6</f>
        <v>-1.4382576535853708E-2</v>
      </c>
    </row>
    <row r="7" spans="1:15" s="1" customFormat="1" ht="14" x14ac:dyDescent="0.3">
      <c r="A7" s="2" t="s">
        <v>15</v>
      </c>
      <c r="B7" s="70">
        <v>23174</v>
      </c>
      <c r="C7" s="70">
        <v>24452</v>
      </c>
      <c r="D7" s="70">
        <v>29248</v>
      </c>
      <c r="E7" s="70">
        <v>30066</v>
      </c>
      <c r="F7" s="70">
        <v>30320</v>
      </c>
      <c r="G7" s="70">
        <v>33791</v>
      </c>
      <c r="H7" s="70">
        <v>29537</v>
      </c>
      <c r="I7" s="70">
        <v>38209</v>
      </c>
      <c r="J7" s="70">
        <v>34902</v>
      </c>
      <c r="K7" s="167">
        <v>37649</v>
      </c>
      <c r="L7" s="227">
        <v>5454</v>
      </c>
      <c r="M7" s="228">
        <v>13359</v>
      </c>
      <c r="N7" s="149">
        <v>15794</v>
      </c>
      <c r="O7" s="229">
        <f t="shared" si="0"/>
        <v>0.15417247055843991</v>
      </c>
    </row>
    <row r="8" spans="1:15" s="1" customFormat="1" ht="14" x14ac:dyDescent="0.3">
      <c r="A8" s="2" t="s">
        <v>16</v>
      </c>
      <c r="B8" s="70">
        <v>21518</v>
      </c>
      <c r="C8" s="70">
        <v>23961</v>
      </c>
      <c r="D8" s="70">
        <v>24303</v>
      </c>
      <c r="E8" s="70">
        <v>23633</v>
      </c>
      <c r="F8" s="70">
        <v>26556</v>
      </c>
      <c r="G8" s="70">
        <v>30869</v>
      </c>
      <c r="H8" s="70">
        <v>34023</v>
      </c>
      <c r="I8" s="70">
        <v>33287</v>
      </c>
      <c r="J8" s="70">
        <v>30931</v>
      </c>
      <c r="K8" s="167">
        <v>29822</v>
      </c>
      <c r="L8" s="227">
        <v>4123</v>
      </c>
      <c r="M8" s="228">
        <v>11459</v>
      </c>
      <c r="N8" s="149">
        <v>13311</v>
      </c>
      <c r="O8" s="229">
        <f t="shared" si="0"/>
        <v>0.1391330478551574</v>
      </c>
    </row>
    <row r="9" spans="1:15" s="1" customFormat="1" ht="14" x14ac:dyDescent="0.3">
      <c r="A9" s="2" t="s">
        <v>17</v>
      </c>
      <c r="B9" s="70">
        <v>11684</v>
      </c>
      <c r="C9" s="70">
        <v>16752</v>
      </c>
      <c r="D9" s="70">
        <v>17415</v>
      </c>
      <c r="E9" s="70">
        <v>16531</v>
      </c>
      <c r="F9" s="70">
        <v>15551</v>
      </c>
      <c r="G9" s="70">
        <v>16096</v>
      </c>
      <c r="H9" s="70">
        <v>21512</v>
      </c>
      <c r="I9" s="70">
        <v>25951</v>
      </c>
      <c r="J9" s="70">
        <v>19747</v>
      </c>
      <c r="K9" s="230">
        <v>17581</v>
      </c>
      <c r="L9" s="230">
        <v>424</v>
      </c>
      <c r="M9" s="228">
        <v>5626</v>
      </c>
      <c r="N9" s="149">
        <v>6663</v>
      </c>
      <c r="O9" s="229">
        <f t="shared" si="0"/>
        <v>0.15563559957976889</v>
      </c>
    </row>
    <row r="10" spans="1:15" s="1" customFormat="1" ht="14" x14ac:dyDescent="0.3">
      <c r="A10" s="2" t="s">
        <v>18</v>
      </c>
      <c r="B10" s="70">
        <v>12408</v>
      </c>
      <c r="C10" s="70">
        <v>13299</v>
      </c>
      <c r="D10" s="70">
        <v>16129</v>
      </c>
      <c r="E10" s="70">
        <v>16495</v>
      </c>
      <c r="F10" s="70">
        <v>16941</v>
      </c>
      <c r="G10" s="70">
        <v>19271</v>
      </c>
      <c r="H10" s="70">
        <v>16654</v>
      </c>
      <c r="I10" s="70">
        <v>16743</v>
      </c>
      <c r="J10" s="70">
        <v>10612</v>
      </c>
      <c r="K10" s="70">
        <v>17872</v>
      </c>
      <c r="L10" s="127">
        <v>3091</v>
      </c>
      <c r="M10" s="228">
        <v>8621</v>
      </c>
      <c r="N10" s="149">
        <v>10989</v>
      </c>
      <c r="O10" s="229">
        <f t="shared" si="0"/>
        <v>0.21548821548821548</v>
      </c>
    </row>
    <row r="11" spans="1:15" s="1" customFormat="1" ht="14" x14ac:dyDescent="0.3">
      <c r="A11" s="2" t="s">
        <v>19</v>
      </c>
      <c r="B11" s="70">
        <v>20442</v>
      </c>
      <c r="C11" s="70">
        <v>25939</v>
      </c>
      <c r="D11" s="70">
        <v>25554</v>
      </c>
      <c r="E11" s="70">
        <v>26660</v>
      </c>
      <c r="F11" s="70">
        <v>25731</v>
      </c>
      <c r="G11" s="70">
        <v>29730</v>
      </c>
      <c r="H11" s="70">
        <v>31949</v>
      </c>
      <c r="I11" s="70">
        <v>28193</v>
      </c>
      <c r="J11" s="70">
        <v>25793</v>
      </c>
      <c r="K11" s="70">
        <v>29043</v>
      </c>
      <c r="L11" s="127">
        <v>4692</v>
      </c>
      <c r="M11" s="228">
        <v>11403</v>
      </c>
      <c r="N11" s="149">
        <v>12067</v>
      </c>
      <c r="O11" s="229">
        <f t="shared" si="0"/>
        <v>5.502610425126378E-2</v>
      </c>
    </row>
    <row r="12" spans="1:15" s="1" customFormat="1" ht="14" x14ac:dyDescent="0.3">
      <c r="A12" s="2" t="s">
        <v>20</v>
      </c>
      <c r="B12" s="70">
        <v>20179</v>
      </c>
      <c r="C12" s="70">
        <v>19954</v>
      </c>
      <c r="D12" s="70">
        <v>18638</v>
      </c>
      <c r="E12" s="70">
        <v>21683</v>
      </c>
      <c r="F12" s="70">
        <v>23376</v>
      </c>
      <c r="G12" s="70">
        <v>29158</v>
      </c>
      <c r="H12" s="70">
        <v>27959</v>
      </c>
      <c r="I12" s="70">
        <v>21661</v>
      </c>
      <c r="J12" s="70">
        <v>22209</v>
      </c>
      <c r="K12" s="70">
        <v>9611</v>
      </c>
      <c r="L12" s="127">
        <v>4801</v>
      </c>
      <c r="M12" s="228">
        <v>12332</v>
      </c>
      <c r="N12" s="149">
        <v>13596</v>
      </c>
      <c r="O12" s="229">
        <f t="shared" si="0"/>
        <v>9.2968520152986178E-2</v>
      </c>
    </row>
    <row r="13" spans="1:15" s="1" customFormat="1" ht="14" x14ac:dyDescent="0.3">
      <c r="A13" s="2" t="s">
        <v>21</v>
      </c>
      <c r="B13" s="70">
        <v>25292</v>
      </c>
      <c r="C13" s="70">
        <v>26737</v>
      </c>
      <c r="D13" s="70">
        <v>29919</v>
      </c>
      <c r="E13" s="70">
        <v>32147</v>
      </c>
      <c r="F13" s="70">
        <v>30320</v>
      </c>
      <c r="G13" s="70">
        <v>37159</v>
      </c>
      <c r="H13" s="70">
        <v>32727</v>
      </c>
      <c r="I13" s="70">
        <v>29310</v>
      </c>
      <c r="J13" s="70">
        <v>35279</v>
      </c>
      <c r="K13" s="70">
        <v>0</v>
      </c>
      <c r="L13" s="127">
        <v>4952</v>
      </c>
      <c r="M13" s="228">
        <v>14393</v>
      </c>
      <c r="N13" s="149">
        <v>14700</v>
      </c>
      <c r="O13" s="229">
        <f t="shared" si="0"/>
        <v>2.0884353741496598E-2</v>
      </c>
    </row>
    <row r="14" spans="1:15" s="1" customFormat="1" ht="14" x14ac:dyDescent="0.3">
      <c r="A14" s="2" t="s">
        <v>22</v>
      </c>
      <c r="B14" s="70">
        <v>10211</v>
      </c>
      <c r="C14" s="70">
        <v>12033</v>
      </c>
      <c r="D14" s="70">
        <v>10547</v>
      </c>
      <c r="E14" s="70">
        <v>8219</v>
      </c>
      <c r="F14" s="70">
        <v>7321</v>
      </c>
      <c r="G14" s="70">
        <v>6424</v>
      </c>
      <c r="H14" s="70">
        <v>17041</v>
      </c>
      <c r="I14" s="70">
        <v>16462</v>
      </c>
      <c r="J14" s="70">
        <v>11203</v>
      </c>
      <c r="K14" s="70">
        <v>0</v>
      </c>
      <c r="L14" s="127">
        <v>1964</v>
      </c>
      <c r="M14" s="228">
        <v>3761</v>
      </c>
      <c r="N14" s="149">
        <v>3488</v>
      </c>
      <c r="O14" s="229">
        <f t="shared" si="0"/>
        <v>-7.8268348623853207E-2</v>
      </c>
    </row>
    <row r="15" spans="1:15" s="1" customFormat="1" ht="14" x14ac:dyDescent="0.3">
      <c r="A15" s="2" t="s">
        <v>23</v>
      </c>
      <c r="B15" s="70">
        <v>4795</v>
      </c>
      <c r="C15" s="70">
        <v>4055</v>
      </c>
      <c r="D15" s="70">
        <v>4445</v>
      </c>
      <c r="E15" s="70">
        <v>4361</v>
      </c>
      <c r="F15" s="70">
        <v>4453</v>
      </c>
      <c r="G15" s="70">
        <v>3273</v>
      </c>
      <c r="H15" s="70">
        <v>4431</v>
      </c>
      <c r="I15" s="70">
        <v>4374</v>
      </c>
      <c r="J15" s="70">
        <v>3544</v>
      </c>
      <c r="K15" s="70">
        <v>0</v>
      </c>
      <c r="L15" s="127">
        <v>1676</v>
      </c>
      <c r="M15" s="228">
        <v>3504</v>
      </c>
      <c r="N15" s="149">
        <v>3792</v>
      </c>
      <c r="O15" s="229">
        <f t="shared" si="0"/>
        <v>7.5949367088607597E-2</v>
      </c>
    </row>
    <row r="16" spans="1:15" s="1" customFormat="1" ht="14" x14ac:dyDescent="0.3">
      <c r="A16" s="56" t="s">
        <v>24</v>
      </c>
      <c r="B16" s="231">
        <f t="shared" ref="B16:C16" si="1">SUM(B4:B15)</f>
        <v>184812</v>
      </c>
      <c r="C16" s="231">
        <f t="shared" si="1"/>
        <v>203074</v>
      </c>
      <c r="D16" s="231">
        <f>SUM(D4:D15)</f>
        <v>218745</v>
      </c>
      <c r="E16" s="231">
        <v>225912</v>
      </c>
      <c r="F16" s="232">
        <f t="shared" ref="F16:K16" si="2">SUM(F4:F15)</f>
        <v>228538</v>
      </c>
      <c r="G16" s="232">
        <f t="shared" si="2"/>
        <v>262865</v>
      </c>
      <c r="H16" s="232">
        <f t="shared" si="2"/>
        <v>268347</v>
      </c>
      <c r="I16" s="232">
        <f t="shared" si="2"/>
        <v>254873</v>
      </c>
      <c r="J16" s="232">
        <f t="shared" si="2"/>
        <v>241853</v>
      </c>
      <c r="K16" s="232">
        <f t="shared" si="2"/>
        <v>183752</v>
      </c>
      <c r="L16" s="233">
        <f>SUM(L4:L15)</f>
        <v>41816</v>
      </c>
      <c r="M16" s="234">
        <f>SUM(M4:M15)</f>
        <v>109278</v>
      </c>
      <c r="N16" s="149">
        <f>SUM(N4:N15)</f>
        <v>122731</v>
      </c>
      <c r="O16" s="235">
        <f>(N16-M16)/N16</f>
        <v>0.10961370802812655</v>
      </c>
    </row>
    <row r="17" s="1" customFormat="1" ht="14" x14ac:dyDescent="0.3"/>
    <row r="18" s="1" customFormat="1" ht="14" x14ac:dyDescent="0.3"/>
    <row r="40" spans="2:12" s="236" customFormat="1" x14ac:dyDescent="0.35">
      <c r="B40" s="84" t="s">
        <v>140</v>
      </c>
      <c r="C40" s="84" t="s">
        <v>141</v>
      </c>
      <c r="D40" s="84" t="s">
        <v>122</v>
      </c>
      <c r="E40" s="84" t="s">
        <v>123</v>
      </c>
      <c r="F40" s="84" t="s">
        <v>127</v>
      </c>
      <c r="G40" s="84" t="s">
        <v>139</v>
      </c>
      <c r="H40" s="84" t="s">
        <v>157</v>
      </c>
      <c r="I40" s="84" t="s">
        <v>170</v>
      </c>
      <c r="J40" s="84" t="s">
        <v>181</v>
      </c>
      <c r="K40" s="63" t="s">
        <v>205</v>
      </c>
      <c r="L40" s="88" t="s">
        <v>233</v>
      </c>
    </row>
    <row r="41" spans="2:12" x14ac:dyDescent="0.35">
      <c r="B41" s="231">
        <v>218745</v>
      </c>
      <c r="C41" s="231">
        <v>225912</v>
      </c>
      <c r="D41" s="232">
        <v>228538</v>
      </c>
      <c r="E41" s="232">
        <v>262865</v>
      </c>
      <c r="F41" s="232">
        <v>268347</v>
      </c>
      <c r="G41" s="232">
        <v>254873</v>
      </c>
      <c r="H41" s="232">
        <v>241853</v>
      </c>
      <c r="I41" s="232">
        <v>183752</v>
      </c>
      <c r="J41" s="232">
        <v>41816</v>
      </c>
      <c r="K41" s="232">
        <v>109287</v>
      </c>
      <c r="L41" s="232">
        <v>112731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64"/>
  <sheetViews>
    <sheetView zoomScale="90" zoomScaleNormal="90" workbookViewId="0">
      <selection activeCell="N12" sqref="N12"/>
    </sheetView>
  </sheetViews>
  <sheetFormatPr defaultRowHeight="14" x14ac:dyDescent="0.3"/>
  <cols>
    <col min="1" max="1" width="13.54296875" style="1" customWidth="1"/>
    <col min="2" max="2" width="9.36328125" style="1" customWidth="1"/>
    <col min="3" max="3" width="12.08984375" style="1" customWidth="1"/>
    <col min="4" max="4" width="8.90625" style="1" bestFit="1" customWidth="1"/>
    <col min="5" max="5" width="9.7265625" style="1" customWidth="1"/>
    <col min="6" max="6" width="9.08984375" style="1" customWidth="1"/>
    <col min="7" max="7" width="10.36328125" style="1" customWidth="1"/>
    <col min="8" max="9" width="8.90625" style="1" bestFit="1" customWidth="1"/>
    <col min="10" max="10" width="9.08984375" style="1" bestFit="1" customWidth="1"/>
    <col min="11" max="11" width="8.90625" style="1" bestFit="1" customWidth="1"/>
    <col min="12" max="12" width="10.54296875" style="3" bestFit="1" customWidth="1"/>
    <col min="13" max="13" width="9.81640625" style="1" bestFit="1" customWidth="1"/>
    <col min="14" max="14" width="11.453125" style="3" bestFit="1" customWidth="1"/>
    <col min="15" max="15" width="9.81640625" style="1" customWidth="1"/>
    <col min="16" max="16384" width="8.7265625" style="1"/>
  </cols>
  <sheetData>
    <row r="1" spans="1:15" s="220" customFormat="1" ht="15.5" x14ac:dyDescent="0.35">
      <c r="A1" s="219" t="s">
        <v>252</v>
      </c>
      <c r="L1" s="221"/>
      <c r="N1" s="221"/>
    </row>
    <row r="2" spans="1:15" x14ac:dyDescent="0.3">
      <c r="A2" s="11"/>
    </row>
    <row r="3" spans="1:15" x14ac:dyDescent="0.3">
      <c r="A3" s="43"/>
      <c r="B3" s="43" t="s">
        <v>163</v>
      </c>
      <c r="C3" s="43" t="s">
        <v>27</v>
      </c>
      <c r="D3" s="43" t="s">
        <v>28</v>
      </c>
      <c r="E3" s="43" t="s">
        <v>29</v>
      </c>
      <c r="F3" s="43" t="s">
        <v>30</v>
      </c>
      <c r="G3" s="43" t="s">
        <v>31</v>
      </c>
      <c r="H3" s="43" t="s">
        <v>32</v>
      </c>
      <c r="I3" s="43" t="s">
        <v>121</v>
      </c>
      <c r="J3" s="43" t="s">
        <v>33</v>
      </c>
      <c r="K3" s="43" t="s">
        <v>34</v>
      </c>
      <c r="L3" s="61" t="s">
        <v>35</v>
      </c>
      <c r="M3" s="62" t="s">
        <v>36</v>
      </c>
      <c r="N3" s="63" t="s">
        <v>35</v>
      </c>
      <c r="O3" s="62" t="s">
        <v>0</v>
      </c>
    </row>
    <row r="4" spans="1:15" x14ac:dyDescent="0.3">
      <c r="A4" s="2" t="s">
        <v>138</v>
      </c>
      <c r="B4" s="102">
        <v>6</v>
      </c>
      <c r="C4" s="102">
        <v>37</v>
      </c>
      <c r="D4" s="102">
        <v>0</v>
      </c>
      <c r="E4" s="102">
        <v>0</v>
      </c>
      <c r="F4" s="102">
        <v>0</v>
      </c>
      <c r="G4" s="102">
        <v>3</v>
      </c>
      <c r="H4" s="102">
        <v>0</v>
      </c>
      <c r="I4" s="102">
        <v>0</v>
      </c>
      <c r="J4" s="102">
        <v>6</v>
      </c>
      <c r="K4" s="102">
        <v>0</v>
      </c>
      <c r="L4" s="103">
        <f>SUM(B4:K4)</f>
        <v>52</v>
      </c>
      <c r="M4" s="102">
        <v>14</v>
      </c>
      <c r="N4" s="105">
        <f>SUM(L4:M4)</f>
        <v>66</v>
      </c>
      <c r="O4" s="16">
        <f>(66-229)/229</f>
        <v>-0.71179039301310043</v>
      </c>
    </row>
    <row r="5" spans="1:15" x14ac:dyDescent="0.3">
      <c r="A5" s="12" t="s">
        <v>137</v>
      </c>
      <c r="B5" s="102">
        <v>0</v>
      </c>
      <c r="C5" s="102">
        <v>28</v>
      </c>
      <c r="D5" s="102">
        <v>0</v>
      </c>
      <c r="E5" s="102">
        <v>0</v>
      </c>
      <c r="F5" s="102">
        <v>0</v>
      </c>
      <c r="G5" s="102">
        <v>2</v>
      </c>
      <c r="H5" s="102">
        <v>0</v>
      </c>
      <c r="I5" s="102">
        <v>0</v>
      </c>
      <c r="J5" s="102">
        <v>1</v>
      </c>
      <c r="K5" s="102">
        <v>0</v>
      </c>
      <c r="L5" s="103">
        <f>SUM(B5:K5)</f>
        <v>31</v>
      </c>
      <c r="M5" s="102">
        <v>65</v>
      </c>
      <c r="N5" s="105">
        <f t="shared" ref="N5:N13" si="0">SUM(L5:M5)</f>
        <v>96</v>
      </c>
      <c r="O5" s="16">
        <f>(96-175)/175</f>
        <v>-0.4514285714285714</v>
      </c>
    </row>
    <row r="6" spans="1:15" x14ac:dyDescent="0.3">
      <c r="A6" s="12" t="s">
        <v>37</v>
      </c>
      <c r="B6" s="102">
        <v>2</v>
      </c>
      <c r="C6" s="102">
        <v>2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3">
        <f>SUM(B6:K6)</f>
        <v>4</v>
      </c>
      <c r="M6" s="102">
        <v>0</v>
      </c>
      <c r="N6" s="105">
        <f t="shared" si="0"/>
        <v>4</v>
      </c>
      <c r="O6" s="16">
        <f>(4-27)/27</f>
        <v>-0.85185185185185186</v>
      </c>
    </row>
    <row r="7" spans="1:15" x14ac:dyDescent="0.3">
      <c r="A7" s="12" t="s">
        <v>38</v>
      </c>
      <c r="B7" s="102">
        <v>141</v>
      </c>
      <c r="C7" s="102">
        <v>466</v>
      </c>
      <c r="D7" s="102">
        <v>0</v>
      </c>
      <c r="E7" s="102">
        <v>0</v>
      </c>
      <c r="F7" s="102">
        <v>2</v>
      </c>
      <c r="G7" s="102">
        <v>69</v>
      </c>
      <c r="H7" s="102">
        <v>0</v>
      </c>
      <c r="I7" s="102"/>
      <c r="J7" s="102">
        <v>68</v>
      </c>
      <c r="K7" s="102">
        <v>0</v>
      </c>
      <c r="L7" s="103">
        <f t="shared" ref="L7:L12" si="1">SUM(B7:K7)</f>
        <v>746</v>
      </c>
      <c r="M7" s="102">
        <v>909</v>
      </c>
      <c r="N7" s="105">
        <f t="shared" si="0"/>
        <v>1655</v>
      </c>
      <c r="O7" s="16">
        <f>(1655-1927)/1927</f>
        <v>-0.14115204981837051</v>
      </c>
    </row>
    <row r="8" spans="1:15" x14ac:dyDescent="0.3">
      <c r="A8" s="12" t="s">
        <v>136</v>
      </c>
      <c r="B8" s="102">
        <v>7</v>
      </c>
      <c r="C8" s="102">
        <v>14</v>
      </c>
      <c r="D8" s="102">
        <v>0</v>
      </c>
      <c r="E8" s="102">
        <v>0</v>
      </c>
      <c r="F8" s="102">
        <v>0</v>
      </c>
      <c r="G8" s="102">
        <v>16</v>
      </c>
      <c r="H8" s="102">
        <v>0</v>
      </c>
      <c r="I8" s="102">
        <v>0</v>
      </c>
      <c r="J8" s="102">
        <v>0</v>
      </c>
      <c r="K8" s="102">
        <v>0</v>
      </c>
      <c r="L8" s="103">
        <f t="shared" si="1"/>
        <v>37</v>
      </c>
      <c r="M8" s="102">
        <v>28</v>
      </c>
      <c r="N8" s="105">
        <f t="shared" si="0"/>
        <v>65</v>
      </c>
      <c r="O8" s="16">
        <f>(65-21)/21</f>
        <v>2.0952380952380953</v>
      </c>
    </row>
    <row r="9" spans="1:15" x14ac:dyDescent="0.3">
      <c r="A9" s="12" t="s">
        <v>39</v>
      </c>
      <c r="B9" s="102">
        <v>0</v>
      </c>
      <c r="C9" s="102">
        <v>555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39</v>
      </c>
      <c r="K9" s="102">
        <v>0</v>
      </c>
      <c r="L9" s="103">
        <f t="shared" si="1"/>
        <v>594</v>
      </c>
      <c r="M9" s="102">
        <v>49</v>
      </c>
      <c r="N9" s="105">
        <f t="shared" si="0"/>
        <v>643</v>
      </c>
      <c r="O9" s="16">
        <f>(643-812)/812</f>
        <v>-0.20812807881773399</v>
      </c>
    </row>
    <row r="10" spans="1:15" x14ac:dyDescent="0.3">
      <c r="A10" s="12" t="s">
        <v>162</v>
      </c>
      <c r="B10" s="102">
        <v>0</v>
      </c>
      <c r="C10" s="102">
        <v>182</v>
      </c>
      <c r="D10" s="102">
        <v>6</v>
      </c>
      <c r="E10" s="102">
        <v>0</v>
      </c>
      <c r="F10" s="102">
        <v>0</v>
      </c>
      <c r="G10" s="102">
        <v>12</v>
      </c>
      <c r="H10" s="102">
        <v>0</v>
      </c>
      <c r="I10" s="102">
        <v>0</v>
      </c>
      <c r="J10" s="102">
        <v>0</v>
      </c>
      <c r="K10" s="102">
        <v>0</v>
      </c>
      <c r="L10" s="103">
        <f t="shared" si="1"/>
        <v>200</v>
      </c>
      <c r="M10" s="102">
        <v>101</v>
      </c>
      <c r="N10" s="105">
        <f t="shared" si="0"/>
        <v>301</v>
      </c>
      <c r="O10" s="16">
        <f>(301-153)/153</f>
        <v>0.9673202614379085</v>
      </c>
    </row>
    <row r="11" spans="1:15" x14ac:dyDescent="0.3">
      <c r="A11" s="12" t="s">
        <v>40</v>
      </c>
      <c r="B11" s="102">
        <v>85</v>
      </c>
      <c r="C11" s="102">
        <v>314</v>
      </c>
      <c r="D11" s="102">
        <v>0</v>
      </c>
      <c r="E11" s="102">
        <v>0</v>
      </c>
      <c r="F11" s="102">
        <v>0</v>
      </c>
      <c r="G11" s="102">
        <v>201</v>
      </c>
      <c r="H11" s="102">
        <v>0</v>
      </c>
      <c r="I11" s="102">
        <v>16</v>
      </c>
      <c r="J11" s="102">
        <v>0</v>
      </c>
      <c r="K11" s="102">
        <v>0</v>
      </c>
      <c r="L11" s="103">
        <f t="shared" si="1"/>
        <v>616</v>
      </c>
      <c r="M11" s="102">
        <v>308</v>
      </c>
      <c r="N11" s="105">
        <f t="shared" si="0"/>
        <v>924</v>
      </c>
      <c r="O11" s="16">
        <f>(924-888)/888</f>
        <v>4.0540540540540543E-2</v>
      </c>
    </row>
    <row r="12" spans="1:15" x14ac:dyDescent="0.3">
      <c r="A12" s="12" t="s">
        <v>41</v>
      </c>
      <c r="B12" s="102">
        <v>2709</v>
      </c>
      <c r="C12" s="102">
        <v>2040</v>
      </c>
      <c r="D12" s="102">
        <v>12</v>
      </c>
      <c r="E12" s="102">
        <v>0</v>
      </c>
      <c r="F12" s="102">
        <v>13</v>
      </c>
      <c r="G12" s="102">
        <v>248</v>
      </c>
      <c r="H12" s="102">
        <v>3</v>
      </c>
      <c r="I12" s="102">
        <v>277</v>
      </c>
      <c r="J12" s="102">
        <v>143</v>
      </c>
      <c r="K12" s="102">
        <v>0</v>
      </c>
      <c r="L12" s="103">
        <f t="shared" si="1"/>
        <v>5445</v>
      </c>
      <c r="M12" s="102">
        <v>1810</v>
      </c>
      <c r="N12" s="105">
        <f t="shared" si="0"/>
        <v>7255</v>
      </c>
      <c r="O12" s="16">
        <f>(7255-7261)/7261</f>
        <v>-8.2633246109351324E-4</v>
      </c>
    </row>
    <row r="13" spans="1:15" s="41" customFormat="1" x14ac:dyDescent="0.3">
      <c r="A13" s="19" t="s">
        <v>24</v>
      </c>
      <c r="B13" s="104">
        <f>SUM(B4:B12)</f>
        <v>2950</v>
      </c>
      <c r="C13" s="104">
        <f t="shared" ref="C13:K13" si="2">SUM(C4:C12)</f>
        <v>3638</v>
      </c>
      <c r="D13" s="104">
        <f t="shared" si="2"/>
        <v>18</v>
      </c>
      <c r="E13" s="104">
        <f t="shared" si="2"/>
        <v>0</v>
      </c>
      <c r="F13" s="104">
        <f t="shared" si="2"/>
        <v>15</v>
      </c>
      <c r="G13" s="104">
        <f t="shared" si="2"/>
        <v>551</v>
      </c>
      <c r="H13" s="104">
        <f t="shared" si="2"/>
        <v>3</v>
      </c>
      <c r="I13" s="104">
        <f t="shared" si="2"/>
        <v>293</v>
      </c>
      <c r="J13" s="104">
        <f t="shared" si="2"/>
        <v>257</v>
      </c>
      <c r="K13" s="104">
        <f t="shared" si="2"/>
        <v>0</v>
      </c>
      <c r="L13" s="105">
        <f>SUM(L4:L12)</f>
        <v>7725</v>
      </c>
      <c r="M13" s="104">
        <v>3372</v>
      </c>
      <c r="N13" s="105">
        <f t="shared" si="0"/>
        <v>11097</v>
      </c>
      <c r="O13" s="16">
        <f>(11097-11493)/11493</f>
        <v>-3.4455755677368832E-2</v>
      </c>
    </row>
    <row r="14" spans="1:15" x14ac:dyDescent="0.3">
      <c r="A14" s="12" t="s">
        <v>0</v>
      </c>
      <c r="B14" s="16">
        <f>(2950-2556)/2556</f>
        <v>0.15414710485133021</v>
      </c>
      <c r="C14" s="16">
        <f>(3638-4546)/4546</f>
        <v>-0.19973603167619886</v>
      </c>
      <c r="D14" s="16">
        <f>(18-12)/12</f>
        <v>0.5</v>
      </c>
      <c r="E14" s="108">
        <v>0</v>
      </c>
      <c r="F14" s="16">
        <f>(15-11)/11</f>
        <v>0.36363636363636365</v>
      </c>
      <c r="G14" s="16">
        <f>(551-549)/549</f>
        <v>3.6429872495446266E-3</v>
      </c>
      <c r="H14" s="16">
        <f>(3-8)/8</f>
        <v>-0.625</v>
      </c>
      <c r="I14" s="16">
        <f>(293-199)/199</f>
        <v>0.47236180904522612</v>
      </c>
      <c r="J14" s="16">
        <f>(257-321)/321</f>
        <v>-0.19937694704049844</v>
      </c>
      <c r="K14" s="102">
        <v>0</v>
      </c>
      <c r="L14" s="6">
        <f>(7725-8208)/8208</f>
        <v>-5.8845029239766082E-2</v>
      </c>
      <c r="M14" s="16">
        <f>(3372-3285)/3285</f>
        <v>2.6484018264840183E-2</v>
      </c>
      <c r="N14" s="6">
        <f>(11097-11493)/11493</f>
        <v>-3.4455755677368832E-2</v>
      </c>
      <c r="O14" s="2"/>
    </row>
    <row r="15" spans="1:15" x14ac:dyDescent="0.3">
      <c r="A15" s="27" t="s">
        <v>149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>
        <v>2969</v>
      </c>
      <c r="M15" s="102"/>
      <c r="N15" s="6"/>
      <c r="O15" s="2"/>
    </row>
    <row r="16" spans="1:15" x14ac:dyDescent="0.3">
      <c r="A16" s="11"/>
      <c r="B16" s="31" t="s">
        <v>167</v>
      </c>
    </row>
    <row r="17" spans="1:32" x14ac:dyDescent="0.3">
      <c r="A17" s="11"/>
    </row>
    <row r="18" spans="1:32" x14ac:dyDescent="0.3">
      <c r="A18" s="11"/>
    </row>
    <row r="19" spans="1:32" x14ac:dyDescent="0.3">
      <c r="A19" s="11" t="s">
        <v>206</v>
      </c>
    </row>
    <row r="20" spans="1:32" s="44" customFormat="1" x14ac:dyDescent="0.3">
      <c r="A20" s="43"/>
      <c r="B20" s="43" t="s">
        <v>163</v>
      </c>
      <c r="C20" s="43" t="s">
        <v>27</v>
      </c>
      <c r="D20" s="43" t="s">
        <v>28</v>
      </c>
      <c r="E20" s="43" t="s">
        <v>29</v>
      </c>
      <c r="F20" s="43" t="s">
        <v>30</v>
      </c>
      <c r="G20" s="43" t="s">
        <v>31</v>
      </c>
      <c r="H20" s="43" t="s">
        <v>32</v>
      </c>
      <c r="I20" s="43" t="s">
        <v>121</v>
      </c>
      <c r="J20" s="43" t="s">
        <v>33</v>
      </c>
      <c r="K20" s="43" t="s">
        <v>34</v>
      </c>
      <c r="L20" s="61" t="s">
        <v>35</v>
      </c>
      <c r="M20" s="62" t="s">
        <v>36</v>
      </c>
      <c r="N20" s="184" t="s">
        <v>35</v>
      </c>
      <c r="O20" s="62" t="s">
        <v>0</v>
      </c>
      <c r="AC20" s="64"/>
      <c r="AD20" s="65"/>
      <c r="AE20" s="66"/>
      <c r="AF20" s="65"/>
    </row>
    <row r="21" spans="1:32" x14ac:dyDescent="0.3">
      <c r="A21" s="2" t="s">
        <v>138</v>
      </c>
      <c r="B21" s="109">
        <v>3</v>
      </c>
      <c r="C21" s="109">
        <v>176</v>
      </c>
      <c r="D21" s="109">
        <v>1</v>
      </c>
      <c r="E21" s="102">
        <v>0</v>
      </c>
      <c r="F21" s="102">
        <v>1</v>
      </c>
      <c r="G21" s="109">
        <v>6</v>
      </c>
      <c r="H21" s="102">
        <v>0</v>
      </c>
      <c r="I21" s="109">
        <v>0</v>
      </c>
      <c r="J21" s="109">
        <v>10</v>
      </c>
      <c r="K21" s="102">
        <v>4</v>
      </c>
      <c r="L21" s="103">
        <f>SUM(B21:K21)</f>
        <v>201</v>
      </c>
      <c r="M21" s="102">
        <v>28</v>
      </c>
      <c r="N21" s="185">
        <f>SUM(L21:M21)</f>
        <v>229</v>
      </c>
      <c r="O21" s="16">
        <f>SUM(N21-N37)/N37</f>
        <v>-0.3224852071005917</v>
      </c>
      <c r="S21" s="17"/>
      <c r="T21" s="17"/>
      <c r="U21" s="17"/>
      <c r="X21" s="17"/>
      <c r="Z21" s="17"/>
      <c r="AA21" s="17"/>
      <c r="AC21" s="3"/>
      <c r="AE21" s="13"/>
      <c r="AF21" s="18"/>
    </row>
    <row r="22" spans="1:32" x14ac:dyDescent="0.3">
      <c r="A22" s="12" t="s">
        <v>137</v>
      </c>
      <c r="B22" s="109">
        <v>0</v>
      </c>
      <c r="C22" s="109">
        <v>6</v>
      </c>
      <c r="D22" s="109">
        <v>0</v>
      </c>
      <c r="E22" s="102">
        <v>0</v>
      </c>
      <c r="F22" s="102">
        <v>0</v>
      </c>
      <c r="G22" s="109">
        <v>21</v>
      </c>
      <c r="H22" s="102">
        <v>0</v>
      </c>
      <c r="I22" s="109">
        <v>0</v>
      </c>
      <c r="J22" s="109">
        <v>0</v>
      </c>
      <c r="K22" s="102">
        <v>0</v>
      </c>
      <c r="L22" s="103">
        <f>SUM(B22:K22)</f>
        <v>27</v>
      </c>
      <c r="M22" s="102">
        <v>148</v>
      </c>
      <c r="N22" s="185">
        <f t="shared" ref="N22:N25" si="3">SUM(L22:M22)</f>
        <v>175</v>
      </c>
      <c r="O22" s="16">
        <f t="shared" ref="O22:O30" si="4">SUM(N22-N38)/N38</f>
        <v>3.6052631578947367</v>
      </c>
      <c r="R22" s="14"/>
      <c r="S22" s="17"/>
      <c r="T22" s="17"/>
      <c r="U22" s="17"/>
      <c r="X22" s="17"/>
      <c r="Z22" s="17"/>
      <c r="AA22" s="17"/>
      <c r="AC22" s="3"/>
      <c r="AE22" s="13"/>
      <c r="AF22" s="18"/>
    </row>
    <row r="23" spans="1:32" x14ac:dyDescent="0.3">
      <c r="A23" s="12" t="s">
        <v>37</v>
      </c>
      <c r="B23" s="109">
        <v>0</v>
      </c>
      <c r="C23" s="109">
        <v>27</v>
      </c>
      <c r="D23" s="109">
        <v>0</v>
      </c>
      <c r="E23" s="102">
        <v>0</v>
      </c>
      <c r="F23" s="102">
        <v>0</v>
      </c>
      <c r="G23" s="109">
        <v>0</v>
      </c>
      <c r="H23" s="102">
        <v>0</v>
      </c>
      <c r="I23" s="109">
        <v>0</v>
      </c>
      <c r="J23" s="109">
        <v>0</v>
      </c>
      <c r="K23" s="102">
        <v>0</v>
      </c>
      <c r="L23" s="103">
        <f>SUM(B23:K23)</f>
        <v>27</v>
      </c>
      <c r="M23" s="102">
        <v>0</v>
      </c>
      <c r="N23" s="185">
        <f t="shared" si="3"/>
        <v>27</v>
      </c>
      <c r="O23" s="16"/>
      <c r="R23" s="14"/>
      <c r="S23" s="17"/>
      <c r="T23" s="17"/>
      <c r="U23" s="17"/>
      <c r="X23" s="17"/>
      <c r="Z23" s="17"/>
      <c r="AA23" s="17"/>
      <c r="AC23" s="3"/>
      <c r="AE23" s="13"/>
      <c r="AF23" s="18"/>
    </row>
    <row r="24" spans="1:32" x14ac:dyDescent="0.3">
      <c r="A24" s="12" t="s">
        <v>38</v>
      </c>
      <c r="B24" s="109">
        <v>125</v>
      </c>
      <c r="C24" s="109">
        <v>872</v>
      </c>
      <c r="D24" s="109">
        <v>0</v>
      </c>
      <c r="E24" s="102">
        <v>0</v>
      </c>
      <c r="F24" s="102">
        <v>0</v>
      </c>
      <c r="G24" s="109">
        <v>62</v>
      </c>
      <c r="H24" s="102">
        <v>0</v>
      </c>
      <c r="I24" s="109">
        <v>3</v>
      </c>
      <c r="J24" s="109">
        <v>68</v>
      </c>
      <c r="K24" s="102">
        <v>1</v>
      </c>
      <c r="L24" s="103">
        <f t="shared" ref="L24:L28" si="5">SUM(B24:K24)</f>
        <v>1131</v>
      </c>
      <c r="M24" s="102">
        <v>796</v>
      </c>
      <c r="N24" s="185">
        <f t="shared" si="3"/>
        <v>1927</v>
      </c>
      <c r="O24" s="16">
        <f t="shared" si="4"/>
        <v>9.9885844748858449E-2</v>
      </c>
      <c r="R24" s="14"/>
      <c r="S24" s="17"/>
      <c r="T24" s="17"/>
      <c r="U24" s="17"/>
      <c r="X24" s="17"/>
      <c r="Z24" s="17"/>
      <c r="AA24" s="17"/>
      <c r="AC24" s="3"/>
      <c r="AE24" s="13"/>
      <c r="AF24" s="18"/>
    </row>
    <row r="25" spans="1:32" x14ac:dyDescent="0.3">
      <c r="A25" s="12" t="s">
        <v>136</v>
      </c>
      <c r="B25" s="109">
        <v>0</v>
      </c>
      <c r="C25" s="109">
        <v>16</v>
      </c>
      <c r="D25" s="109">
        <v>0</v>
      </c>
      <c r="E25" s="102">
        <v>0</v>
      </c>
      <c r="F25" s="102">
        <v>0</v>
      </c>
      <c r="G25" s="109">
        <v>4</v>
      </c>
      <c r="H25" s="102">
        <v>0</v>
      </c>
      <c r="I25" s="109">
        <v>0</v>
      </c>
      <c r="J25" s="109">
        <v>0</v>
      </c>
      <c r="K25" s="102">
        <v>0</v>
      </c>
      <c r="L25" s="103">
        <f t="shared" si="5"/>
        <v>20</v>
      </c>
      <c r="M25" s="102">
        <v>1</v>
      </c>
      <c r="N25" s="185">
        <f t="shared" si="3"/>
        <v>21</v>
      </c>
      <c r="O25" s="16">
        <f t="shared" si="4"/>
        <v>4.25</v>
      </c>
      <c r="R25" s="14"/>
      <c r="S25" s="17"/>
      <c r="T25" s="17"/>
      <c r="U25" s="17"/>
      <c r="X25" s="17"/>
      <c r="Z25" s="17"/>
      <c r="AA25" s="17"/>
      <c r="AC25" s="3"/>
      <c r="AE25" s="13"/>
      <c r="AF25" s="18"/>
    </row>
    <row r="26" spans="1:32" x14ac:dyDescent="0.3">
      <c r="A26" s="12" t="s">
        <v>39</v>
      </c>
      <c r="B26" s="109">
        <v>0</v>
      </c>
      <c r="C26" s="109">
        <v>634</v>
      </c>
      <c r="D26" s="109">
        <v>1</v>
      </c>
      <c r="E26" s="102">
        <v>0</v>
      </c>
      <c r="F26" s="102">
        <v>2</v>
      </c>
      <c r="G26" s="109">
        <v>0</v>
      </c>
      <c r="H26" s="102">
        <v>0</v>
      </c>
      <c r="I26" s="109">
        <v>0</v>
      </c>
      <c r="J26" s="109">
        <v>50</v>
      </c>
      <c r="K26" s="102">
        <v>0</v>
      </c>
      <c r="L26" s="103">
        <f t="shared" si="5"/>
        <v>687</v>
      </c>
      <c r="M26" s="102">
        <v>125</v>
      </c>
      <c r="N26" s="185">
        <f>SUM(L26:M26)</f>
        <v>812</v>
      </c>
      <c r="O26" s="16">
        <f t="shared" si="4"/>
        <v>8.9932885906040275E-2</v>
      </c>
      <c r="R26" s="14"/>
      <c r="S26" s="17"/>
      <c r="T26" s="17"/>
      <c r="U26" s="17"/>
      <c r="X26" s="17"/>
      <c r="Z26" s="17"/>
      <c r="AA26" s="17"/>
      <c r="AC26" s="3"/>
      <c r="AE26" s="13"/>
      <c r="AF26" s="18"/>
    </row>
    <row r="27" spans="1:32" x14ac:dyDescent="0.3">
      <c r="A27" s="12" t="s">
        <v>162</v>
      </c>
      <c r="B27" s="109">
        <v>2</v>
      </c>
      <c r="C27" s="109">
        <v>127</v>
      </c>
      <c r="D27" s="109">
        <v>0</v>
      </c>
      <c r="E27" s="102">
        <v>0</v>
      </c>
      <c r="F27" s="102">
        <v>0</v>
      </c>
      <c r="G27" s="109">
        <v>18</v>
      </c>
      <c r="H27" s="102">
        <v>0</v>
      </c>
      <c r="I27" s="109">
        <v>1</v>
      </c>
      <c r="J27" s="109">
        <v>0</v>
      </c>
      <c r="K27" s="102">
        <v>0</v>
      </c>
      <c r="L27" s="103">
        <f t="shared" si="5"/>
        <v>148</v>
      </c>
      <c r="M27" s="102">
        <v>5</v>
      </c>
      <c r="N27" s="185">
        <f t="shared" ref="N27:N30" si="6">SUM(L27:M27)</f>
        <v>153</v>
      </c>
      <c r="O27" s="16">
        <f t="shared" si="4"/>
        <v>10.76923076923077</v>
      </c>
      <c r="R27" s="14"/>
      <c r="S27" s="17"/>
      <c r="T27" s="17"/>
      <c r="U27" s="17"/>
      <c r="X27" s="17"/>
      <c r="Z27" s="17"/>
      <c r="AA27" s="17"/>
      <c r="AC27" s="3"/>
      <c r="AE27" s="13"/>
      <c r="AF27" s="18"/>
    </row>
    <row r="28" spans="1:32" x14ac:dyDescent="0.3">
      <c r="A28" s="12" t="s">
        <v>40</v>
      </c>
      <c r="B28" s="109">
        <v>75</v>
      </c>
      <c r="C28" s="109">
        <v>293</v>
      </c>
      <c r="D28" s="109">
        <v>0</v>
      </c>
      <c r="E28" s="102">
        <v>0</v>
      </c>
      <c r="F28" s="102">
        <v>0</v>
      </c>
      <c r="G28" s="109">
        <v>101</v>
      </c>
      <c r="H28" s="102">
        <v>0</v>
      </c>
      <c r="I28" s="109">
        <v>26</v>
      </c>
      <c r="J28" s="109">
        <v>1</v>
      </c>
      <c r="K28" s="102">
        <v>0</v>
      </c>
      <c r="L28" s="103">
        <f t="shared" si="5"/>
        <v>496</v>
      </c>
      <c r="M28" s="102">
        <v>392</v>
      </c>
      <c r="N28" s="185">
        <f t="shared" si="6"/>
        <v>888</v>
      </c>
      <c r="O28" s="16">
        <f t="shared" si="4"/>
        <v>0.11278195488721804</v>
      </c>
      <c r="R28" s="14"/>
      <c r="S28" s="17"/>
      <c r="T28" s="17"/>
      <c r="U28" s="17"/>
      <c r="X28" s="17"/>
      <c r="Z28" s="17"/>
      <c r="AA28" s="17"/>
      <c r="AC28" s="3"/>
      <c r="AE28" s="13"/>
      <c r="AF28" s="18"/>
    </row>
    <row r="29" spans="1:32" x14ac:dyDescent="0.3">
      <c r="A29" s="12" t="s">
        <v>41</v>
      </c>
      <c r="B29" s="109">
        <v>2351</v>
      </c>
      <c r="C29" s="109">
        <v>2395</v>
      </c>
      <c r="D29" s="109">
        <v>10</v>
      </c>
      <c r="E29" s="102">
        <v>0</v>
      </c>
      <c r="F29" s="102">
        <v>8</v>
      </c>
      <c r="G29" s="109">
        <v>337</v>
      </c>
      <c r="H29" s="102">
        <v>8</v>
      </c>
      <c r="I29" s="109">
        <v>169</v>
      </c>
      <c r="J29" s="109">
        <v>192</v>
      </c>
      <c r="K29" s="102">
        <v>1</v>
      </c>
      <c r="L29" s="103">
        <f>SUM(B29:K29)</f>
        <v>5471</v>
      </c>
      <c r="M29" s="102">
        <v>1790</v>
      </c>
      <c r="N29" s="185">
        <f t="shared" si="6"/>
        <v>7261</v>
      </c>
      <c r="O29" s="16">
        <f t="shared" si="4"/>
        <v>0.3628003003003003</v>
      </c>
      <c r="R29" s="14"/>
      <c r="S29" s="17"/>
      <c r="T29" s="17"/>
      <c r="U29" s="17"/>
      <c r="X29" s="17"/>
      <c r="Z29" s="17"/>
      <c r="AA29" s="17"/>
      <c r="AC29" s="3"/>
      <c r="AE29" s="13"/>
      <c r="AF29" s="18"/>
    </row>
    <row r="30" spans="1:32" s="3" customFormat="1" x14ac:dyDescent="0.3">
      <c r="A30" s="10" t="s">
        <v>24</v>
      </c>
      <c r="B30" s="103">
        <f t="shared" ref="B30:M30" si="7">SUM(B21:B29)</f>
        <v>2556</v>
      </c>
      <c r="C30" s="103">
        <f>SUM(C21:C29)</f>
        <v>4546</v>
      </c>
      <c r="D30" s="103">
        <f t="shared" si="7"/>
        <v>12</v>
      </c>
      <c r="E30" s="103">
        <f t="shared" si="7"/>
        <v>0</v>
      </c>
      <c r="F30" s="103">
        <f t="shared" si="7"/>
        <v>11</v>
      </c>
      <c r="G30" s="103">
        <f t="shared" si="7"/>
        <v>549</v>
      </c>
      <c r="H30" s="103">
        <f t="shared" si="7"/>
        <v>8</v>
      </c>
      <c r="I30" s="103">
        <f t="shared" si="7"/>
        <v>199</v>
      </c>
      <c r="J30" s="103">
        <f t="shared" si="7"/>
        <v>321</v>
      </c>
      <c r="K30" s="103">
        <f t="shared" si="7"/>
        <v>6</v>
      </c>
      <c r="L30" s="103">
        <f t="shared" si="7"/>
        <v>8208</v>
      </c>
      <c r="M30" s="110">
        <f t="shared" si="7"/>
        <v>3285</v>
      </c>
      <c r="N30" s="185">
        <f t="shared" si="6"/>
        <v>11493</v>
      </c>
      <c r="O30" s="16">
        <f t="shared" si="4"/>
        <v>0.27473380656610469</v>
      </c>
      <c r="R30" s="13"/>
      <c r="S30" s="20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3"/>
      <c r="AE30" s="13"/>
      <c r="AF30" s="21"/>
    </row>
    <row r="31" spans="1:32" x14ac:dyDescent="0.3">
      <c r="A31" s="12" t="s">
        <v>0</v>
      </c>
      <c r="B31" s="23">
        <f>SUM(B30-B46)/B46</f>
        <v>0.4465195246179966</v>
      </c>
      <c r="C31" s="23" t="e">
        <f>SUM(C30-C46)/#REF!</f>
        <v>#REF!</v>
      </c>
      <c r="D31" s="23">
        <f>SUM(D30-D46)/D46</f>
        <v>5</v>
      </c>
      <c r="E31" s="23">
        <v>0</v>
      </c>
      <c r="F31" s="23">
        <f>SUM(F30-F46)/F46</f>
        <v>0.83333333333333337</v>
      </c>
      <c r="G31" s="23">
        <f>SUM(G30-G46)/G46</f>
        <v>-3.8528896672504379E-2</v>
      </c>
      <c r="H31" s="23">
        <f t="shared" ref="H31:J31" si="8">SUM(H30-H46)/H46</f>
        <v>-0.55555555555555558</v>
      </c>
      <c r="I31" s="23">
        <f t="shared" si="8"/>
        <v>0.7767857142857143</v>
      </c>
      <c r="J31" s="23">
        <f t="shared" si="8"/>
        <v>0.17582417582417584</v>
      </c>
      <c r="K31" s="23"/>
      <c r="L31" s="23">
        <f t="shared" ref="L31" si="9">SUM(L30-L46)/L46</f>
        <v>0.40355677154582764</v>
      </c>
      <c r="M31" s="23">
        <f t="shared" ref="M31:N31" si="10">SUM(M30-M46)/M46</f>
        <v>3.6931818181818184E-2</v>
      </c>
      <c r="N31" s="23">
        <f t="shared" si="10"/>
        <v>0.27473380656610469</v>
      </c>
      <c r="O31" s="111"/>
      <c r="R31" s="14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1"/>
    </row>
    <row r="32" spans="1:32" s="3" customFormat="1" x14ac:dyDescent="0.3">
      <c r="A32" s="27" t="s">
        <v>149</v>
      </c>
      <c r="B32" s="103"/>
      <c r="C32" s="106"/>
      <c r="D32" s="103"/>
      <c r="E32" s="103"/>
      <c r="F32" s="106"/>
      <c r="G32" s="106"/>
      <c r="H32" s="103"/>
      <c r="I32" s="103"/>
      <c r="J32" s="106"/>
      <c r="K32" s="103"/>
      <c r="L32" s="106">
        <v>2911</v>
      </c>
      <c r="M32" s="110"/>
      <c r="N32" s="112"/>
      <c r="O32" s="106"/>
      <c r="R32" s="29"/>
      <c r="S32" s="20"/>
      <c r="U32" s="15"/>
      <c r="V32" s="15"/>
      <c r="W32" s="15"/>
      <c r="X32" s="15"/>
      <c r="Y32" s="15"/>
      <c r="Z32" s="15"/>
      <c r="AA32" s="15"/>
      <c r="AB32" s="15"/>
      <c r="AC32" s="15"/>
      <c r="AD32" s="13"/>
      <c r="AE32" s="30"/>
      <c r="AF32" s="21"/>
    </row>
    <row r="33" spans="1:32" s="3" customFormat="1" x14ac:dyDescent="0.3">
      <c r="A33" s="29"/>
      <c r="B33" s="31" t="s">
        <v>167</v>
      </c>
      <c r="D33" s="15"/>
      <c r="E33" s="15"/>
      <c r="F33" s="15"/>
      <c r="G33" s="15"/>
      <c r="H33" s="15"/>
      <c r="I33" s="15"/>
      <c r="J33" s="15"/>
      <c r="K33" s="15"/>
      <c r="L33" s="15"/>
      <c r="M33" s="13"/>
      <c r="N33" s="30"/>
      <c r="O33" s="32"/>
    </row>
    <row r="34" spans="1:32" s="3" customFormat="1" x14ac:dyDescent="0.3">
      <c r="A34" s="29"/>
      <c r="B34" s="31"/>
      <c r="D34" s="15"/>
      <c r="E34" s="15"/>
      <c r="F34" s="15"/>
      <c r="G34" s="15"/>
      <c r="H34" s="15"/>
      <c r="I34" s="15"/>
      <c r="J34" s="15"/>
      <c r="K34" s="15"/>
      <c r="L34" s="15"/>
      <c r="M34" s="13"/>
      <c r="N34" s="30"/>
      <c r="O34" s="32"/>
    </row>
    <row r="35" spans="1:32" x14ac:dyDescent="0.3">
      <c r="A35" s="11" t="s">
        <v>183</v>
      </c>
    </row>
    <row r="36" spans="1:32" s="44" customFormat="1" x14ac:dyDescent="0.3">
      <c r="A36" s="43"/>
      <c r="B36" s="43" t="s">
        <v>163</v>
      </c>
      <c r="C36" s="43" t="s">
        <v>27</v>
      </c>
      <c r="D36" s="43" t="s">
        <v>28</v>
      </c>
      <c r="E36" s="43" t="s">
        <v>29</v>
      </c>
      <c r="F36" s="43" t="s">
        <v>30</v>
      </c>
      <c r="G36" s="43" t="s">
        <v>31</v>
      </c>
      <c r="H36" s="43" t="s">
        <v>32</v>
      </c>
      <c r="I36" s="43" t="s">
        <v>121</v>
      </c>
      <c r="J36" s="43" t="s">
        <v>33</v>
      </c>
      <c r="K36" s="43" t="s">
        <v>34</v>
      </c>
      <c r="L36" s="61" t="s">
        <v>35</v>
      </c>
      <c r="M36" s="62" t="s">
        <v>36</v>
      </c>
      <c r="N36" s="184" t="s">
        <v>35</v>
      </c>
      <c r="O36" s="62" t="s">
        <v>0</v>
      </c>
      <c r="AC36" s="64"/>
      <c r="AD36" s="65"/>
      <c r="AE36" s="66"/>
      <c r="AF36" s="65"/>
    </row>
    <row r="37" spans="1:32" x14ac:dyDescent="0.3">
      <c r="A37" s="2" t="s">
        <v>138</v>
      </c>
      <c r="B37" s="69">
        <v>2</v>
      </c>
      <c r="C37" s="69">
        <v>188</v>
      </c>
      <c r="D37" s="69">
        <v>0</v>
      </c>
      <c r="E37" s="70">
        <v>0</v>
      </c>
      <c r="F37" s="70">
        <v>0</v>
      </c>
      <c r="G37" s="69">
        <v>12</v>
      </c>
      <c r="H37" s="70">
        <v>0</v>
      </c>
      <c r="I37" s="69">
        <v>0</v>
      </c>
      <c r="J37" s="69">
        <v>44</v>
      </c>
      <c r="K37" s="70">
        <v>0</v>
      </c>
      <c r="L37" s="73">
        <f>SUM(B37:K37)</f>
        <v>246</v>
      </c>
      <c r="M37" s="70">
        <v>92</v>
      </c>
      <c r="N37" s="186">
        <f>SUM(L37:M37)</f>
        <v>338</v>
      </c>
      <c r="O37" s="16">
        <f>SUM(N37-N53)/N53</f>
        <v>1.6</v>
      </c>
      <c r="S37" s="17"/>
      <c r="T37" s="17"/>
      <c r="U37" s="17"/>
      <c r="X37" s="17"/>
      <c r="Z37" s="17"/>
      <c r="AA37" s="17"/>
      <c r="AC37" s="3"/>
      <c r="AE37" s="13"/>
      <c r="AF37" s="18"/>
    </row>
    <row r="38" spans="1:32" x14ac:dyDescent="0.3">
      <c r="A38" s="12" t="s">
        <v>137</v>
      </c>
      <c r="B38" s="69">
        <v>0</v>
      </c>
      <c r="C38" s="69">
        <v>14</v>
      </c>
      <c r="D38" s="69">
        <v>0</v>
      </c>
      <c r="E38" s="70">
        <v>0</v>
      </c>
      <c r="F38" s="70">
        <v>0</v>
      </c>
      <c r="G38" s="69">
        <v>0</v>
      </c>
      <c r="H38" s="70">
        <v>0</v>
      </c>
      <c r="I38" s="69">
        <v>0</v>
      </c>
      <c r="J38" s="69">
        <v>0</v>
      </c>
      <c r="K38" s="70">
        <v>0</v>
      </c>
      <c r="L38" s="73">
        <f>SUM(B38:K38)</f>
        <v>14</v>
      </c>
      <c r="M38" s="70">
        <v>24</v>
      </c>
      <c r="N38" s="186">
        <f t="shared" ref="N38:N41" si="11">SUM(L38:M38)</f>
        <v>38</v>
      </c>
      <c r="O38" s="16">
        <f>SUM(N38-N54)/N54</f>
        <v>-0.65765765765765771</v>
      </c>
      <c r="R38" s="14"/>
      <c r="S38" s="17"/>
      <c r="T38" s="17"/>
      <c r="U38" s="17"/>
      <c r="X38" s="17"/>
      <c r="Z38" s="17"/>
      <c r="AA38" s="17"/>
      <c r="AC38" s="3"/>
      <c r="AE38" s="13"/>
      <c r="AF38" s="18"/>
    </row>
    <row r="39" spans="1:32" x14ac:dyDescent="0.3">
      <c r="A39" s="12" t="s">
        <v>37</v>
      </c>
      <c r="B39" s="69">
        <v>0</v>
      </c>
      <c r="C39" s="69">
        <v>0</v>
      </c>
      <c r="D39" s="69">
        <v>0</v>
      </c>
      <c r="E39" s="70">
        <v>0</v>
      </c>
      <c r="F39" s="70">
        <v>0</v>
      </c>
      <c r="G39" s="69">
        <v>0</v>
      </c>
      <c r="H39" s="70">
        <v>0</v>
      </c>
      <c r="I39" s="69">
        <v>0</v>
      </c>
      <c r="J39" s="69">
        <v>0</v>
      </c>
      <c r="K39" s="70">
        <v>0</v>
      </c>
      <c r="L39" s="73">
        <v>0</v>
      </c>
      <c r="M39" s="70">
        <v>0</v>
      </c>
      <c r="N39" s="186">
        <f t="shared" si="11"/>
        <v>0</v>
      </c>
      <c r="O39" s="16">
        <f t="shared" ref="O39:O46" si="12">SUM(N39-N55)/N55</f>
        <v>-1</v>
      </c>
      <c r="R39" s="14"/>
      <c r="S39" s="17"/>
      <c r="T39" s="17"/>
      <c r="U39" s="17"/>
      <c r="X39" s="17"/>
      <c r="Z39" s="17"/>
      <c r="AA39" s="17"/>
      <c r="AC39" s="3"/>
      <c r="AE39" s="13"/>
      <c r="AF39" s="18"/>
    </row>
    <row r="40" spans="1:32" x14ac:dyDescent="0.3">
      <c r="A40" s="12" t="s">
        <v>38</v>
      </c>
      <c r="B40" s="69">
        <v>79</v>
      </c>
      <c r="C40" s="69">
        <v>504</v>
      </c>
      <c r="D40" s="69">
        <v>0</v>
      </c>
      <c r="E40" s="70">
        <v>0</v>
      </c>
      <c r="F40" s="70">
        <v>0</v>
      </c>
      <c r="G40" s="69">
        <v>77</v>
      </c>
      <c r="H40" s="70">
        <v>0</v>
      </c>
      <c r="I40" s="69">
        <v>9</v>
      </c>
      <c r="J40" s="69">
        <v>39</v>
      </c>
      <c r="K40" s="70">
        <v>0</v>
      </c>
      <c r="L40" s="73">
        <f t="shared" ref="L40:L44" si="13">SUM(B40:K40)</f>
        <v>708</v>
      </c>
      <c r="M40" s="70">
        <v>1044</v>
      </c>
      <c r="N40" s="186">
        <f t="shared" si="11"/>
        <v>1752</v>
      </c>
      <c r="O40" s="16">
        <f t="shared" si="12"/>
        <v>-0.24612736660929432</v>
      </c>
      <c r="R40" s="14"/>
      <c r="S40" s="17"/>
      <c r="T40" s="17"/>
      <c r="U40" s="17"/>
      <c r="X40" s="17"/>
      <c r="Z40" s="17"/>
      <c r="AA40" s="17"/>
      <c r="AC40" s="3"/>
      <c r="AE40" s="13"/>
      <c r="AF40" s="18"/>
    </row>
    <row r="41" spans="1:32" x14ac:dyDescent="0.3">
      <c r="A41" s="12" t="s">
        <v>136</v>
      </c>
      <c r="B41" s="69">
        <v>0</v>
      </c>
      <c r="C41" s="69">
        <v>4</v>
      </c>
      <c r="D41" s="69">
        <v>0</v>
      </c>
      <c r="E41" s="70">
        <v>0</v>
      </c>
      <c r="F41" s="70">
        <v>0</v>
      </c>
      <c r="G41" s="69">
        <v>0</v>
      </c>
      <c r="H41" s="70">
        <v>0</v>
      </c>
      <c r="I41" s="69">
        <v>0</v>
      </c>
      <c r="J41" s="69">
        <v>0</v>
      </c>
      <c r="K41" s="70">
        <v>0</v>
      </c>
      <c r="L41" s="73">
        <f t="shared" si="13"/>
        <v>4</v>
      </c>
      <c r="M41" s="70">
        <v>0</v>
      </c>
      <c r="N41" s="186">
        <f t="shared" si="11"/>
        <v>4</v>
      </c>
      <c r="O41" s="16">
        <f t="shared" si="12"/>
        <v>-0.94202898550724634</v>
      </c>
      <c r="R41" s="14"/>
      <c r="S41" s="17"/>
      <c r="T41" s="17"/>
      <c r="U41" s="17"/>
      <c r="X41" s="17"/>
      <c r="Z41" s="17"/>
      <c r="AA41" s="17"/>
      <c r="AC41" s="3"/>
      <c r="AE41" s="13"/>
      <c r="AF41" s="18"/>
    </row>
    <row r="42" spans="1:32" x14ac:dyDescent="0.3">
      <c r="A42" s="12" t="s">
        <v>39</v>
      </c>
      <c r="B42" s="69">
        <v>0</v>
      </c>
      <c r="C42" s="69">
        <v>538</v>
      </c>
      <c r="D42" s="69">
        <v>1</v>
      </c>
      <c r="E42" s="70">
        <v>0</v>
      </c>
      <c r="F42" s="70">
        <v>0</v>
      </c>
      <c r="G42" s="69">
        <v>0</v>
      </c>
      <c r="H42" s="70">
        <v>0</v>
      </c>
      <c r="I42" s="69">
        <v>0</v>
      </c>
      <c r="J42" s="69">
        <v>46</v>
      </c>
      <c r="K42" s="70">
        <v>0</v>
      </c>
      <c r="L42" s="73">
        <f t="shared" si="13"/>
        <v>585</v>
      </c>
      <c r="M42" s="70">
        <v>160</v>
      </c>
      <c r="N42" s="186">
        <f>SUM(L42:M42)</f>
        <v>745</v>
      </c>
      <c r="O42" s="16">
        <f t="shared" si="12"/>
        <v>-5.0955414012738856E-2</v>
      </c>
      <c r="R42" s="14"/>
      <c r="S42" s="17"/>
      <c r="T42" s="17"/>
      <c r="U42" s="17"/>
      <c r="X42" s="17"/>
      <c r="Z42" s="17"/>
      <c r="AA42" s="17"/>
      <c r="AC42" s="3"/>
      <c r="AE42" s="13"/>
      <c r="AF42" s="18"/>
    </row>
    <row r="43" spans="1:32" x14ac:dyDescent="0.3">
      <c r="A43" s="12" t="s">
        <v>162</v>
      </c>
      <c r="B43" s="69">
        <v>0</v>
      </c>
      <c r="C43" s="69">
        <v>13</v>
      </c>
      <c r="D43" s="69">
        <v>0</v>
      </c>
      <c r="E43" s="70">
        <v>0</v>
      </c>
      <c r="F43" s="70">
        <v>0</v>
      </c>
      <c r="G43" s="69">
        <v>0</v>
      </c>
      <c r="H43" s="70">
        <v>0</v>
      </c>
      <c r="I43" s="69">
        <v>0</v>
      </c>
      <c r="J43" s="69">
        <v>0</v>
      </c>
      <c r="K43" s="70">
        <v>0</v>
      </c>
      <c r="L43" s="73">
        <f t="shared" si="13"/>
        <v>13</v>
      </c>
      <c r="M43" s="70">
        <v>0</v>
      </c>
      <c r="N43" s="186">
        <f t="shared" ref="N43:N46" si="14">SUM(L43:M43)</f>
        <v>13</v>
      </c>
      <c r="O43" s="16">
        <f t="shared" si="12"/>
        <v>-0.88495575221238942</v>
      </c>
      <c r="R43" s="14"/>
      <c r="S43" s="17"/>
      <c r="T43" s="17"/>
      <c r="U43" s="17"/>
      <c r="X43" s="17"/>
      <c r="Z43" s="17"/>
      <c r="AA43" s="17"/>
      <c r="AC43" s="3"/>
      <c r="AE43" s="13"/>
      <c r="AF43" s="18"/>
    </row>
    <row r="44" spans="1:32" x14ac:dyDescent="0.3">
      <c r="A44" s="12" t="s">
        <v>40</v>
      </c>
      <c r="B44" s="69">
        <v>71</v>
      </c>
      <c r="C44" s="69">
        <v>252</v>
      </c>
      <c r="D44" s="69">
        <v>0</v>
      </c>
      <c r="E44" s="70">
        <v>0</v>
      </c>
      <c r="F44" s="70">
        <v>0</v>
      </c>
      <c r="G44" s="69">
        <v>119</v>
      </c>
      <c r="H44" s="70">
        <v>0</v>
      </c>
      <c r="I44" s="69">
        <v>5</v>
      </c>
      <c r="J44" s="69">
        <v>1</v>
      </c>
      <c r="K44" s="70">
        <v>0</v>
      </c>
      <c r="L44" s="73">
        <f t="shared" si="13"/>
        <v>448</v>
      </c>
      <c r="M44" s="70">
        <v>350</v>
      </c>
      <c r="N44" s="186">
        <f t="shared" si="14"/>
        <v>798</v>
      </c>
      <c r="O44" s="16">
        <f t="shared" si="12"/>
        <v>-0.47187293183322304</v>
      </c>
      <c r="R44" s="14"/>
      <c r="S44" s="17"/>
      <c r="T44" s="17"/>
      <c r="U44" s="17"/>
      <c r="X44" s="17"/>
      <c r="Z44" s="17"/>
      <c r="AA44" s="17"/>
      <c r="AC44" s="3"/>
      <c r="AE44" s="13"/>
      <c r="AF44" s="18"/>
    </row>
    <row r="45" spans="1:32" x14ac:dyDescent="0.3">
      <c r="A45" s="12" t="s">
        <v>41</v>
      </c>
      <c r="B45" s="69">
        <v>1615</v>
      </c>
      <c r="C45" s="69">
        <v>1586</v>
      </c>
      <c r="D45" s="69">
        <v>1</v>
      </c>
      <c r="E45" s="70">
        <v>0</v>
      </c>
      <c r="F45" s="70">
        <v>6</v>
      </c>
      <c r="G45" s="69">
        <v>363</v>
      </c>
      <c r="H45" s="70">
        <v>18</v>
      </c>
      <c r="I45" s="69">
        <v>98</v>
      </c>
      <c r="J45" s="69">
        <v>143</v>
      </c>
      <c r="K45" s="70">
        <v>0</v>
      </c>
      <c r="L45" s="73">
        <f>SUM(B45:K45)</f>
        <v>3830</v>
      </c>
      <c r="M45" s="70">
        <v>1498</v>
      </c>
      <c r="N45" s="186">
        <f t="shared" si="14"/>
        <v>5328</v>
      </c>
      <c r="O45" s="16">
        <f t="shared" si="12"/>
        <v>-0.47739087788131435</v>
      </c>
      <c r="R45" s="14"/>
      <c r="S45" s="17"/>
      <c r="T45" s="17"/>
      <c r="U45" s="17"/>
      <c r="X45" s="17"/>
      <c r="Z45" s="17"/>
      <c r="AA45" s="17"/>
      <c r="AC45" s="3"/>
      <c r="AE45" s="13"/>
      <c r="AF45" s="18"/>
    </row>
    <row r="46" spans="1:32" s="3" customFormat="1" x14ac:dyDescent="0.3">
      <c r="A46" s="187" t="s">
        <v>24</v>
      </c>
      <c r="B46" s="73">
        <f t="shared" ref="B46:M46" si="15">SUM(B37:B45)</f>
        <v>1767</v>
      </c>
      <c r="C46" s="73">
        <f t="shared" si="15"/>
        <v>3099</v>
      </c>
      <c r="D46" s="73">
        <f t="shared" si="15"/>
        <v>2</v>
      </c>
      <c r="E46" s="73">
        <f t="shared" si="15"/>
        <v>0</v>
      </c>
      <c r="F46" s="73">
        <f t="shared" si="15"/>
        <v>6</v>
      </c>
      <c r="G46" s="73">
        <f t="shared" si="15"/>
        <v>571</v>
      </c>
      <c r="H46" s="73">
        <f t="shared" si="15"/>
        <v>18</v>
      </c>
      <c r="I46" s="73">
        <f t="shared" si="15"/>
        <v>112</v>
      </c>
      <c r="J46" s="73">
        <f t="shared" si="15"/>
        <v>273</v>
      </c>
      <c r="K46" s="73">
        <f t="shared" si="15"/>
        <v>0</v>
      </c>
      <c r="L46" s="73">
        <f t="shared" si="15"/>
        <v>5848</v>
      </c>
      <c r="M46" s="74">
        <f t="shared" si="15"/>
        <v>3168</v>
      </c>
      <c r="N46" s="186">
        <f t="shared" si="14"/>
        <v>9016</v>
      </c>
      <c r="O46" s="16">
        <f t="shared" si="12"/>
        <v>-0.40959989522624585</v>
      </c>
      <c r="R46" s="13"/>
      <c r="S46" s="20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3"/>
      <c r="AE46" s="13"/>
      <c r="AF46" s="21"/>
    </row>
    <row r="47" spans="1:32" x14ac:dyDescent="0.3">
      <c r="A47" s="12" t="s">
        <v>0</v>
      </c>
      <c r="B47" s="23">
        <f>SUM(B46-B62)/B62</f>
        <v>-0.54727132974634896</v>
      </c>
      <c r="C47" s="23">
        <f t="shared" ref="C47:J47" si="16">SUM(C46-C62)/C62</f>
        <v>-0.3406382978723404</v>
      </c>
      <c r="D47" s="23">
        <f t="shared" si="16"/>
        <v>-0.8666666666666667</v>
      </c>
      <c r="E47" s="23">
        <v>0</v>
      </c>
      <c r="F47" s="23">
        <f t="shared" si="16"/>
        <v>-0.6470588235294118</v>
      </c>
      <c r="G47" s="23">
        <f t="shared" si="16"/>
        <v>-0.6664719626168224</v>
      </c>
      <c r="H47" s="23">
        <f t="shared" si="16"/>
        <v>0.5</v>
      </c>
      <c r="I47" s="23">
        <f t="shared" si="16"/>
        <v>-0.44554455445544555</v>
      </c>
      <c r="J47" s="23">
        <f t="shared" si="16"/>
        <v>2.7397260273972601</v>
      </c>
      <c r="K47" s="23">
        <v>0</v>
      </c>
      <c r="L47" s="23">
        <f t="shared" ref="L47" si="17">SUM(L46-L62)/L62</f>
        <v>-0.45006582659394395</v>
      </c>
      <c r="M47" s="23">
        <f>SUM(M46-M62)/M62</f>
        <v>-0.31679965494932066</v>
      </c>
      <c r="N47" s="24">
        <f>SUM(N46-N62)/N62</f>
        <v>-0.40959989522624585</v>
      </c>
      <c r="O47" s="70"/>
      <c r="R47" s="14"/>
      <c r="S47" s="25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1"/>
    </row>
    <row r="48" spans="1:32" s="3" customFormat="1" x14ac:dyDescent="0.3">
      <c r="A48" s="27" t="s">
        <v>149</v>
      </c>
      <c r="B48" s="73"/>
      <c r="C48" s="71"/>
      <c r="D48" s="73"/>
      <c r="E48" s="73"/>
      <c r="F48" s="71"/>
      <c r="G48" s="71"/>
      <c r="H48" s="73"/>
      <c r="I48" s="73"/>
      <c r="J48" s="71"/>
      <c r="K48" s="73"/>
      <c r="L48" s="71">
        <v>2866</v>
      </c>
      <c r="M48" s="74"/>
      <c r="N48" s="76"/>
      <c r="O48" s="75"/>
      <c r="R48" s="29"/>
      <c r="S48" s="20"/>
      <c r="U48" s="15"/>
      <c r="V48" s="15"/>
      <c r="W48" s="15"/>
      <c r="X48" s="15"/>
      <c r="Y48" s="15"/>
      <c r="Z48" s="15"/>
      <c r="AA48" s="15"/>
      <c r="AB48" s="15"/>
      <c r="AC48" s="15"/>
      <c r="AD48" s="13"/>
      <c r="AE48" s="30"/>
      <c r="AF48" s="21"/>
    </row>
    <row r="49" spans="1:32" s="3" customFormat="1" x14ac:dyDescent="0.3">
      <c r="A49" s="29"/>
      <c r="B49" s="31" t="s">
        <v>167</v>
      </c>
      <c r="D49" s="15"/>
      <c r="E49" s="15"/>
      <c r="F49" s="15"/>
      <c r="G49" s="15"/>
      <c r="H49" s="15"/>
      <c r="I49" s="15"/>
      <c r="J49" s="15"/>
      <c r="K49" s="15"/>
      <c r="L49" s="15"/>
      <c r="M49" s="13"/>
      <c r="N49" s="30"/>
      <c r="O49" s="32"/>
    </row>
    <row r="50" spans="1:32" s="3" customFormat="1" x14ac:dyDescent="0.3">
      <c r="A50" s="29"/>
      <c r="B50" s="31"/>
      <c r="D50" s="15"/>
      <c r="E50" s="15"/>
      <c r="F50" s="15"/>
      <c r="G50" s="15"/>
      <c r="H50" s="15"/>
      <c r="I50" s="15"/>
      <c r="J50" s="15"/>
      <c r="K50" s="15"/>
      <c r="L50" s="15"/>
      <c r="M50" s="13"/>
      <c r="N50" s="30"/>
      <c r="O50" s="32"/>
    </row>
    <row r="51" spans="1:32" x14ac:dyDescent="0.3">
      <c r="A51" s="11" t="s">
        <v>168</v>
      </c>
    </row>
    <row r="52" spans="1:32" s="44" customFormat="1" x14ac:dyDescent="0.3">
      <c r="A52" s="43"/>
      <c r="B52" s="43" t="s">
        <v>163</v>
      </c>
      <c r="C52" s="43" t="s">
        <v>27</v>
      </c>
      <c r="D52" s="43" t="s">
        <v>28</v>
      </c>
      <c r="E52" s="43" t="s">
        <v>29</v>
      </c>
      <c r="F52" s="43" t="s">
        <v>30</v>
      </c>
      <c r="G52" s="43" t="s">
        <v>31</v>
      </c>
      <c r="H52" s="43" t="s">
        <v>32</v>
      </c>
      <c r="I52" s="43" t="s">
        <v>121</v>
      </c>
      <c r="J52" s="43" t="s">
        <v>33</v>
      </c>
      <c r="K52" s="43" t="s">
        <v>34</v>
      </c>
      <c r="L52" s="61" t="s">
        <v>35</v>
      </c>
      <c r="M52" s="62" t="s">
        <v>36</v>
      </c>
      <c r="N52" s="184" t="s">
        <v>35</v>
      </c>
      <c r="O52" s="62" t="s">
        <v>0</v>
      </c>
      <c r="AC52" s="64"/>
      <c r="AD52" s="65"/>
      <c r="AE52" s="66"/>
      <c r="AF52" s="65"/>
    </row>
    <row r="53" spans="1:32" x14ac:dyDescent="0.3">
      <c r="A53" s="2" t="s">
        <v>138</v>
      </c>
      <c r="B53" s="69">
        <v>7</v>
      </c>
      <c r="C53" s="69">
        <v>64</v>
      </c>
      <c r="D53" s="69">
        <v>0</v>
      </c>
      <c r="E53" s="70">
        <v>0</v>
      </c>
      <c r="F53" s="70">
        <v>0</v>
      </c>
      <c r="G53" s="69">
        <v>7</v>
      </c>
      <c r="H53" s="70">
        <v>0</v>
      </c>
      <c r="I53" s="69">
        <v>0</v>
      </c>
      <c r="J53" s="69">
        <v>11</v>
      </c>
      <c r="K53" s="70">
        <v>0</v>
      </c>
      <c r="L53" s="73">
        <f>SUM(B53:K53)</f>
        <v>89</v>
      </c>
      <c r="M53" s="70">
        <v>41</v>
      </c>
      <c r="N53" s="186">
        <f>SUM(L53:M53)</f>
        <v>130</v>
      </c>
      <c r="O53" s="16">
        <f>SUM(N53-N69)/N69</f>
        <v>5.6910569105691054E-2</v>
      </c>
      <c r="S53" s="17"/>
      <c r="T53" s="17"/>
      <c r="U53" s="17"/>
      <c r="X53" s="17"/>
      <c r="Z53" s="17"/>
      <c r="AA53" s="17"/>
      <c r="AC53" s="3"/>
      <c r="AE53" s="13"/>
      <c r="AF53" s="18"/>
    </row>
    <row r="54" spans="1:32" x14ac:dyDescent="0.3">
      <c r="A54" s="12" t="s">
        <v>137</v>
      </c>
      <c r="B54" s="69">
        <v>3</v>
      </c>
      <c r="C54" s="69">
        <v>22</v>
      </c>
      <c r="D54" s="69">
        <v>0</v>
      </c>
      <c r="E54" s="70">
        <v>0</v>
      </c>
      <c r="F54" s="70">
        <v>0</v>
      </c>
      <c r="G54" s="69">
        <v>10</v>
      </c>
      <c r="H54" s="70">
        <v>0</v>
      </c>
      <c r="I54" s="69">
        <v>0</v>
      </c>
      <c r="J54" s="69">
        <v>0</v>
      </c>
      <c r="K54" s="70">
        <v>0</v>
      </c>
      <c r="L54" s="73">
        <f>SUM(B54:K54)</f>
        <v>35</v>
      </c>
      <c r="M54" s="70">
        <v>76</v>
      </c>
      <c r="N54" s="186">
        <f t="shared" ref="N54:N57" si="18">SUM(L54:M54)</f>
        <v>111</v>
      </c>
      <c r="O54" s="16">
        <f>SUM(N54-N70)/N70</f>
        <v>0.23333333333333334</v>
      </c>
      <c r="R54" s="14"/>
      <c r="S54" s="17"/>
      <c r="T54" s="17"/>
      <c r="U54" s="17"/>
      <c r="X54" s="17"/>
      <c r="Z54" s="17"/>
      <c r="AA54" s="17"/>
      <c r="AC54" s="3"/>
      <c r="AE54" s="13"/>
      <c r="AF54" s="18"/>
    </row>
    <row r="55" spans="1:32" x14ac:dyDescent="0.3">
      <c r="A55" s="12" t="s">
        <v>37</v>
      </c>
      <c r="B55" s="69">
        <v>1</v>
      </c>
      <c r="C55" s="69">
        <v>9</v>
      </c>
      <c r="D55" s="69">
        <v>0</v>
      </c>
      <c r="E55" s="70">
        <v>0</v>
      </c>
      <c r="F55" s="70">
        <v>0</v>
      </c>
      <c r="G55" s="69">
        <v>0</v>
      </c>
      <c r="H55" s="70">
        <v>0</v>
      </c>
      <c r="I55" s="69">
        <v>0</v>
      </c>
      <c r="J55" s="69">
        <v>0</v>
      </c>
      <c r="K55" s="70">
        <v>0</v>
      </c>
      <c r="L55" s="73">
        <f t="shared" ref="L55:L60" si="19">SUM(B55:K55)</f>
        <v>10</v>
      </c>
      <c r="M55" s="70">
        <v>23</v>
      </c>
      <c r="N55" s="186">
        <f t="shared" si="18"/>
        <v>33</v>
      </c>
      <c r="O55" s="16">
        <f t="shared" ref="O55:O62" si="20">SUM(N55-N71)/N71</f>
        <v>0.32</v>
      </c>
      <c r="R55" s="14"/>
      <c r="S55" s="17"/>
      <c r="T55" s="17"/>
      <c r="U55" s="17"/>
      <c r="X55" s="17"/>
      <c r="Z55" s="17"/>
      <c r="AA55" s="17"/>
      <c r="AC55" s="3"/>
      <c r="AE55" s="13"/>
      <c r="AF55" s="18"/>
    </row>
    <row r="56" spans="1:32" x14ac:dyDescent="0.3">
      <c r="A56" s="12" t="s">
        <v>38</v>
      </c>
      <c r="B56" s="69">
        <v>130</v>
      </c>
      <c r="C56" s="69">
        <v>666</v>
      </c>
      <c r="D56" s="69">
        <v>10</v>
      </c>
      <c r="E56" s="70">
        <v>0</v>
      </c>
      <c r="F56" s="70">
        <v>9</v>
      </c>
      <c r="G56" s="69">
        <v>147</v>
      </c>
      <c r="H56" s="70">
        <v>0</v>
      </c>
      <c r="I56" s="69">
        <v>13</v>
      </c>
      <c r="J56" s="69">
        <v>11</v>
      </c>
      <c r="K56" s="70">
        <v>0</v>
      </c>
      <c r="L56" s="73">
        <f t="shared" si="19"/>
        <v>986</v>
      </c>
      <c r="M56" s="70">
        <v>1338</v>
      </c>
      <c r="N56" s="186">
        <f t="shared" si="18"/>
        <v>2324</v>
      </c>
      <c r="O56" s="16">
        <f t="shared" si="20"/>
        <v>-0.12036336109008328</v>
      </c>
      <c r="R56" s="14"/>
      <c r="S56" s="17"/>
      <c r="T56" s="17"/>
      <c r="U56" s="17"/>
      <c r="X56" s="17"/>
      <c r="Z56" s="17"/>
      <c r="AA56" s="17"/>
      <c r="AC56" s="3"/>
      <c r="AE56" s="13"/>
      <c r="AF56" s="18"/>
    </row>
    <row r="57" spans="1:32" x14ac:dyDescent="0.3">
      <c r="A57" s="12" t="s">
        <v>136</v>
      </c>
      <c r="B57" s="69">
        <v>1</v>
      </c>
      <c r="C57" s="69">
        <v>31</v>
      </c>
      <c r="D57" s="69">
        <v>0</v>
      </c>
      <c r="E57" s="70">
        <v>0</v>
      </c>
      <c r="F57" s="70">
        <v>0</v>
      </c>
      <c r="G57" s="69">
        <v>27</v>
      </c>
      <c r="H57" s="70">
        <v>0</v>
      </c>
      <c r="I57" s="69">
        <v>0</v>
      </c>
      <c r="J57" s="69">
        <v>0</v>
      </c>
      <c r="K57" s="70">
        <v>0</v>
      </c>
      <c r="L57" s="73">
        <f t="shared" si="19"/>
        <v>59</v>
      </c>
      <c r="M57" s="70">
        <v>10</v>
      </c>
      <c r="N57" s="186">
        <f t="shared" si="18"/>
        <v>69</v>
      </c>
      <c r="O57" s="16">
        <f t="shared" si="20"/>
        <v>2.2857142857142856</v>
      </c>
      <c r="R57" s="14"/>
      <c r="S57" s="17"/>
      <c r="T57" s="17"/>
      <c r="U57" s="17"/>
      <c r="X57" s="17"/>
      <c r="Z57" s="17"/>
      <c r="AA57" s="17"/>
      <c r="AC57" s="3"/>
      <c r="AE57" s="13"/>
      <c r="AF57" s="18"/>
    </row>
    <row r="58" spans="1:32" x14ac:dyDescent="0.3">
      <c r="A58" s="12" t="s">
        <v>39</v>
      </c>
      <c r="B58" s="69">
        <v>0</v>
      </c>
      <c r="C58" s="69">
        <v>558</v>
      </c>
      <c r="D58" s="69">
        <v>0</v>
      </c>
      <c r="E58" s="70">
        <v>0</v>
      </c>
      <c r="F58" s="70">
        <v>1</v>
      </c>
      <c r="G58" s="69">
        <v>0</v>
      </c>
      <c r="H58" s="70">
        <v>0</v>
      </c>
      <c r="I58" s="69">
        <v>0</v>
      </c>
      <c r="J58" s="69">
        <v>2</v>
      </c>
      <c r="K58" s="70">
        <v>0</v>
      </c>
      <c r="L58" s="73">
        <f t="shared" si="19"/>
        <v>561</v>
      </c>
      <c r="M58" s="70">
        <v>224</v>
      </c>
      <c r="N58" s="186">
        <f>SUM(L58:M58)</f>
        <v>785</v>
      </c>
      <c r="O58" s="16">
        <f t="shared" si="20"/>
        <v>-0.22812192723697147</v>
      </c>
      <c r="R58" s="14"/>
      <c r="S58" s="17"/>
      <c r="T58" s="17"/>
      <c r="U58" s="17"/>
      <c r="X58" s="17"/>
      <c r="Z58" s="17"/>
      <c r="AA58" s="17"/>
      <c r="AC58" s="3"/>
      <c r="AE58" s="13"/>
      <c r="AF58" s="18"/>
    </row>
    <row r="59" spans="1:32" x14ac:dyDescent="0.3">
      <c r="A59" s="12" t="s">
        <v>162</v>
      </c>
      <c r="B59" s="69">
        <v>1</v>
      </c>
      <c r="C59" s="69">
        <v>100</v>
      </c>
      <c r="D59" s="69">
        <v>0</v>
      </c>
      <c r="E59" s="70">
        <v>0</v>
      </c>
      <c r="F59" s="70">
        <v>0</v>
      </c>
      <c r="G59" s="69">
        <v>9</v>
      </c>
      <c r="H59" s="70">
        <v>0</v>
      </c>
      <c r="I59" s="69">
        <v>0</v>
      </c>
      <c r="J59" s="69">
        <v>0</v>
      </c>
      <c r="K59" s="70">
        <v>0</v>
      </c>
      <c r="L59" s="73">
        <f t="shared" si="19"/>
        <v>110</v>
      </c>
      <c r="M59" s="70">
        <v>3</v>
      </c>
      <c r="N59" s="186">
        <f t="shared" ref="N59:N62" si="21">SUM(L59:M59)</f>
        <v>113</v>
      </c>
      <c r="O59" s="16">
        <f t="shared" si="20"/>
        <v>-0.19285714285714287</v>
      </c>
      <c r="R59" s="14"/>
      <c r="S59" s="17"/>
      <c r="T59" s="17"/>
      <c r="U59" s="17"/>
      <c r="X59" s="17"/>
      <c r="Z59" s="17"/>
      <c r="AA59" s="17"/>
      <c r="AC59" s="3"/>
      <c r="AE59" s="13"/>
      <c r="AF59" s="18"/>
    </row>
    <row r="60" spans="1:32" x14ac:dyDescent="0.3">
      <c r="A60" s="12" t="s">
        <v>40</v>
      </c>
      <c r="B60" s="69">
        <v>147</v>
      </c>
      <c r="C60" s="69">
        <v>388</v>
      </c>
      <c r="D60" s="69">
        <v>1</v>
      </c>
      <c r="E60" s="70">
        <v>0</v>
      </c>
      <c r="F60" s="70">
        <v>1</v>
      </c>
      <c r="G60" s="69">
        <v>389</v>
      </c>
      <c r="H60" s="70">
        <v>1</v>
      </c>
      <c r="I60" s="69">
        <v>23</v>
      </c>
      <c r="J60" s="69">
        <v>5</v>
      </c>
      <c r="K60" s="70">
        <v>0</v>
      </c>
      <c r="L60" s="73">
        <f t="shared" si="19"/>
        <v>955</v>
      </c>
      <c r="M60" s="70">
        <v>556</v>
      </c>
      <c r="N60" s="186">
        <f t="shared" si="21"/>
        <v>1511</v>
      </c>
      <c r="O60" s="16">
        <f t="shared" si="20"/>
        <v>-0.10855457227138643</v>
      </c>
      <c r="R60" s="14"/>
      <c r="S60" s="17"/>
      <c r="T60" s="17"/>
      <c r="U60" s="17"/>
      <c r="X60" s="17"/>
      <c r="Z60" s="17"/>
      <c r="AA60" s="17"/>
      <c r="AC60" s="3"/>
      <c r="AE60" s="13"/>
      <c r="AF60" s="18"/>
    </row>
    <row r="61" spans="1:32" x14ac:dyDescent="0.3">
      <c r="A61" s="12" t="s">
        <v>41</v>
      </c>
      <c r="B61" s="69">
        <v>3613</v>
      </c>
      <c r="C61" s="69">
        <v>2862</v>
      </c>
      <c r="D61" s="69">
        <v>4</v>
      </c>
      <c r="E61" s="70">
        <v>0</v>
      </c>
      <c r="F61" s="70">
        <v>6</v>
      </c>
      <c r="G61" s="69">
        <v>1123</v>
      </c>
      <c r="H61" s="70">
        <v>11</v>
      </c>
      <c r="I61" s="69">
        <v>166</v>
      </c>
      <c r="J61" s="69">
        <v>44</v>
      </c>
      <c r="K61" s="70">
        <v>0</v>
      </c>
      <c r="L61" s="73">
        <f>SUM(B61:K61)</f>
        <v>7829</v>
      </c>
      <c r="M61" s="70">
        <v>2366</v>
      </c>
      <c r="N61" s="186">
        <f t="shared" si="21"/>
        <v>10195</v>
      </c>
      <c r="O61" s="16">
        <f t="shared" si="20"/>
        <v>-0.25496930722011107</v>
      </c>
      <c r="R61" s="14"/>
      <c r="S61" s="17"/>
      <c r="T61" s="17"/>
      <c r="U61" s="17"/>
      <c r="X61" s="17"/>
      <c r="Z61" s="17"/>
      <c r="AA61" s="17"/>
      <c r="AC61" s="3"/>
      <c r="AE61" s="13"/>
      <c r="AF61" s="18"/>
    </row>
    <row r="62" spans="1:32" s="3" customFormat="1" x14ac:dyDescent="0.3">
      <c r="A62" s="187" t="s">
        <v>24</v>
      </c>
      <c r="B62" s="73">
        <f t="shared" ref="B62:M62" si="22">SUM(B53:B61)</f>
        <v>3903</v>
      </c>
      <c r="C62" s="73">
        <f t="shared" si="22"/>
        <v>4700</v>
      </c>
      <c r="D62" s="73">
        <f t="shared" si="22"/>
        <v>15</v>
      </c>
      <c r="E62" s="73">
        <f t="shared" si="22"/>
        <v>0</v>
      </c>
      <c r="F62" s="73">
        <f t="shared" si="22"/>
        <v>17</v>
      </c>
      <c r="G62" s="73">
        <f t="shared" si="22"/>
        <v>1712</v>
      </c>
      <c r="H62" s="73">
        <f t="shared" si="22"/>
        <v>12</v>
      </c>
      <c r="I62" s="73">
        <f t="shared" si="22"/>
        <v>202</v>
      </c>
      <c r="J62" s="73">
        <f t="shared" si="22"/>
        <v>73</v>
      </c>
      <c r="K62" s="73">
        <f t="shared" si="22"/>
        <v>0</v>
      </c>
      <c r="L62" s="73">
        <f t="shared" si="22"/>
        <v>10634</v>
      </c>
      <c r="M62" s="74">
        <f t="shared" si="22"/>
        <v>4637</v>
      </c>
      <c r="N62" s="186">
        <f t="shared" si="21"/>
        <v>15271</v>
      </c>
      <c r="O62" s="16">
        <f t="shared" si="20"/>
        <v>-0.21433348767813962</v>
      </c>
      <c r="R62" s="13"/>
      <c r="S62" s="20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3"/>
      <c r="AE62" s="13"/>
      <c r="AF62" s="21"/>
    </row>
    <row r="63" spans="1:32" x14ac:dyDescent="0.3">
      <c r="A63" s="12" t="s">
        <v>0</v>
      </c>
      <c r="B63" s="23">
        <f t="shared" ref="B63:L63" si="23">SUM(B62-B78)/B78</f>
        <v>-0.36895715440582055</v>
      </c>
      <c r="C63" s="23">
        <f t="shared" si="23"/>
        <v>-0.27457941040283995</v>
      </c>
      <c r="D63" s="23">
        <f t="shared" si="23"/>
        <v>-0.4642857142857143</v>
      </c>
      <c r="E63" s="23">
        <f t="shared" si="23"/>
        <v>-1</v>
      </c>
      <c r="F63" s="23">
        <f t="shared" si="23"/>
        <v>0.21428571428571427</v>
      </c>
      <c r="G63" s="23">
        <f t="shared" si="23"/>
        <v>-7.2589382448537382E-2</v>
      </c>
      <c r="H63" s="23">
        <f t="shared" si="23"/>
        <v>0</v>
      </c>
      <c r="I63" s="23">
        <f t="shared" si="23"/>
        <v>-6.0465116279069767E-2</v>
      </c>
      <c r="J63" s="23">
        <f t="shared" si="23"/>
        <v>-0.76065573770491801</v>
      </c>
      <c r="K63" s="23">
        <v>0</v>
      </c>
      <c r="L63" s="23">
        <f t="shared" si="23"/>
        <v>-0.29510804719607581</v>
      </c>
      <c r="M63" s="23">
        <f>SUM(M62-M78)/M78</f>
        <v>6.5732015628591128E-2</v>
      </c>
      <c r="N63" s="24">
        <f>SUM(N62-N78)/N78</f>
        <v>-0.21433348767813962</v>
      </c>
      <c r="O63" s="70"/>
      <c r="R63" s="14"/>
      <c r="S63" s="25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1"/>
    </row>
    <row r="64" spans="1:32" s="3" customFormat="1" x14ac:dyDescent="0.3">
      <c r="A64" s="27" t="s">
        <v>149</v>
      </c>
      <c r="B64" s="73"/>
      <c r="C64" s="71">
        <v>3332</v>
      </c>
      <c r="D64" s="73"/>
      <c r="E64" s="73"/>
      <c r="F64" s="71"/>
      <c r="G64" s="71">
        <v>178</v>
      </c>
      <c r="H64" s="73"/>
      <c r="I64" s="73"/>
      <c r="J64" s="71">
        <v>74</v>
      </c>
      <c r="K64" s="73"/>
      <c r="L64" s="76">
        <v>6155</v>
      </c>
      <c r="M64" s="74"/>
      <c r="N64" s="85"/>
      <c r="O64" s="75"/>
      <c r="R64" s="29"/>
      <c r="S64" s="20"/>
      <c r="U64" s="15"/>
      <c r="V64" s="15"/>
      <c r="W64" s="15"/>
      <c r="X64" s="15"/>
      <c r="Y64" s="15"/>
      <c r="Z64" s="15"/>
      <c r="AA64" s="15"/>
      <c r="AB64" s="15"/>
      <c r="AC64" s="15"/>
      <c r="AD64" s="13"/>
      <c r="AE64" s="30"/>
      <c r="AF64" s="21"/>
    </row>
    <row r="65" spans="1:32" s="3" customFormat="1" x14ac:dyDescent="0.3">
      <c r="A65" s="29"/>
      <c r="B65" s="31" t="s">
        <v>167</v>
      </c>
      <c r="D65" s="15"/>
      <c r="E65" s="15"/>
      <c r="F65" s="15"/>
      <c r="G65" s="15"/>
      <c r="H65" s="15"/>
      <c r="I65" s="15"/>
      <c r="J65" s="15"/>
      <c r="K65" s="15"/>
      <c r="L65" s="15"/>
      <c r="M65" s="13"/>
      <c r="N65" s="30"/>
      <c r="O65" s="32"/>
    </row>
    <row r="66" spans="1:32" s="3" customFormat="1" x14ac:dyDescent="0.3">
      <c r="A66" s="29"/>
      <c r="B66" s="31"/>
      <c r="D66" s="15"/>
      <c r="E66" s="15"/>
      <c r="F66" s="15"/>
      <c r="G66" s="15"/>
      <c r="H66" s="15"/>
      <c r="I66" s="15"/>
      <c r="J66" s="15"/>
      <c r="K66" s="15"/>
      <c r="L66" s="15"/>
      <c r="M66" s="13"/>
      <c r="N66" s="30"/>
      <c r="O66" s="32"/>
    </row>
    <row r="67" spans="1:32" x14ac:dyDescent="0.3">
      <c r="A67" s="11" t="s">
        <v>159</v>
      </c>
    </row>
    <row r="68" spans="1:32" s="44" customFormat="1" x14ac:dyDescent="0.3">
      <c r="A68" s="43"/>
      <c r="B68" s="43" t="s">
        <v>163</v>
      </c>
      <c r="C68" s="43" t="s">
        <v>27</v>
      </c>
      <c r="D68" s="43" t="s">
        <v>28</v>
      </c>
      <c r="E68" s="43" t="s">
        <v>29</v>
      </c>
      <c r="F68" s="43" t="s">
        <v>30</v>
      </c>
      <c r="G68" s="43" t="s">
        <v>31</v>
      </c>
      <c r="H68" s="43" t="s">
        <v>32</v>
      </c>
      <c r="I68" s="43" t="s">
        <v>121</v>
      </c>
      <c r="J68" s="43" t="s">
        <v>33</v>
      </c>
      <c r="K68" s="43" t="s">
        <v>34</v>
      </c>
      <c r="L68" s="61" t="s">
        <v>35</v>
      </c>
      <c r="M68" s="62" t="s">
        <v>36</v>
      </c>
      <c r="N68" s="184" t="s">
        <v>35</v>
      </c>
      <c r="O68" s="62" t="s">
        <v>0</v>
      </c>
      <c r="AC68" s="64"/>
      <c r="AD68" s="65"/>
      <c r="AE68" s="66"/>
      <c r="AF68" s="65"/>
    </row>
    <row r="69" spans="1:32" x14ac:dyDescent="0.3">
      <c r="A69" s="2" t="s">
        <v>138</v>
      </c>
      <c r="B69" s="69">
        <v>15</v>
      </c>
      <c r="C69" s="69">
        <v>70</v>
      </c>
      <c r="D69" s="69">
        <v>0</v>
      </c>
      <c r="E69" s="70">
        <v>0</v>
      </c>
      <c r="F69" s="70">
        <v>0</v>
      </c>
      <c r="G69" s="69">
        <v>18</v>
      </c>
      <c r="H69" s="70">
        <v>0</v>
      </c>
      <c r="I69" s="69">
        <v>0</v>
      </c>
      <c r="J69" s="69">
        <v>2</v>
      </c>
      <c r="K69" s="70">
        <v>0</v>
      </c>
      <c r="L69" s="71">
        <f>SUM(B69:K69)</f>
        <v>105</v>
      </c>
      <c r="M69" s="70">
        <f>12+6</f>
        <v>18</v>
      </c>
      <c r="N69" s="186">
        <f>SUM(L69:M69)</f>
        <v>123</v>
      </c>
      <c r="O69" s="16">
        <f t="shared" ref="O69:O78" si="24">SUM(N69-N85)/N85</f>
        <v>-0.14583333333333334</v>
      </c>
      <c r="S69" s="17"/>
      <c r="T69" s="17"/>
      <c r="U69" s="17"/>
      <c r="X69" s="17"/>
      <c r="Z69" s="17"/>
      <c r="AA69" s="17"/>
      <c r="AC69" s="3"/>
      <c r="AE69" s="13"/>
      <c r="AF69" s="18"/>
    </row>
    <row r="70" spans="1:32" x14ac:dyDescent="0.3">
      <c r="A70" s="12" t="s">
        <v>137</v>
      </c>
      <c r="B70" s="69">
        <v>1</v>
      </c>
      <c r="C70" s="69">
        <v>54</v>
      </c>
      <c r="D70" s="69">
        <v>0</v>
      </c>
      <c r="E70" s="70">
        <v>0</v>
      </c>
      <c r="F70" s="70">
        <v>0</v>
      </c>
      <c r="G70" s="69">
        <v>5</v>
      </c>
      <c r="H70" s="70">
        <v>0</v>
      </c>
      <c r="I70" s="69">
        <v>0</v>
      </c>
      <c r="J70" s="69">
        <v>0</v>
      </c>
      <c r="K70" s="70">
        <v>0</v>
      </c>
      <c r="L70" s="71">
        <f>SUM(B70:K70)</f>
        <v>60</v>
      </c>
      <c r="M70" s="70">
        <v>30</v>
      </c>
      <c r="N70" s="186">
        <f t="shared" ref="N70:N73" si="25">SUM(L70:M70)</f>
        <v>90</v>
      </c>
      <c r="O70" s="16">
        <f t="shared" si="24"/>
        <v>-0.31818181818181818</v>
      </c>
      <c r="R70" s="14"/>
      <c r="S70" s="17"/>
      <c r="T70" s="17"/>
      <c r="U70" s="17"/>
      <c r="X70" s="17"/>
      <c r="Z70" s="17"/>
      <c r="AA70" s="17"/>
      <c r="AC70" s="3"/>
      <c r="AE70" s="13"/>
      <c r="AF70" s="18"/>
    </row>
    <row r="71" spans="1:32" x14ac:dyDescent="0.3">
      <c r="A71" s="12" t="s">
        <v>37</v>
      </c>
      <c r="B71" s="69">
        <v>0</v>
      </c>
      <c r="C71" s="69">
        <v>24</v>
      </c>
      <c r="D71" s="69">
        <v>0</v>
      </c>
      <c r="E71" s="70">
        <v>0</v>
      </c>
      <c r="F71" s="70">
        <v>0</v>
      </c>
      <c r="G71" s="69">
        <v>0</v>
      </c>
      <c r="H71" s="70">
        <v>0</v>
      </c>
      <c r="I71" s="69">
        <v>0</v>
      </c>
      <c r="J71" s="69">
        <v>0</v>
      </c>
      <c r="K71" s="70">
        <v>0</v>
      </c>
      <c r="L71" s="71">
        <f t="shared" ref="L71:L76" si="26">SUM(B71:K71)</f>
        <v>24</v>
      </c>
      <c r="M71" s="70">
        <v>1</v>
      </c>
      <c r="N71" s="186">
        <f t="shared" si="25"/>
        <v>25</v>
      </c>
      <c r="O71" s="16">
        <f t="shared" si="24"/>
        <v>0.31578947368421051</v>
      </c>
      <c r="R71" s="14"/>
      <c r="S71" s="17"/>
      <c r="T71" s="17"/>
      <c r="U71" s="17"/>
      <c r="X71" s="17"/>
      <c r="Z71" s="17"/>
      <c r="AA71" s="17"/>
      <c r="AC71" s="3"/>
      <c r="AE71" s="13"/>
      <c r="AF71" s="18"/>
    </row>
    <row r="72" spans="1:32" x14ac:dyDescent="0.3">
      <c r="A72" s="12" t="s">
        <v>38</v>
      </c>
      <c r="B72" s="69">
        <f>2+157+37</f>
        <v>196</v>
      </c>
      <c r="C72" s="69">
        <f>70+762</f>
        <v>832</v>
      </c>
      <c r="D72" s="69">
        <v>10</v>
      </c>
      <c r="E72" s="70">
        <v>2</v>
      </c>
      <c r="F72" s="70">
        <v>1</v>
      </c>
      <c r="G72" s="69">
        <v>213</v>
      </c>
      <c r="H72" s="70">
        <v>0</v>
      </c>
      <c r="I72" s="69">
        <v>3</v>
      </c>
      <c r="J72" s="69">
        <v>5</v>
      </c>
      <c r="K72" s="70">
        <v>0</v>
      </c>
      <c r="L72" s="71">
        <f t="shared" si="26"/>
        <v>1262</v>
      </c>
      <c r="M72" s="70">
        <v>1380</v>
      </c>
      <c r="N72" s="186">
        <f t="shared" si="25"/>
        <v>2642</v>
      </c>
      <c r="O72" s="16">
        <f t="shared" si="24"/>
        <v>-0.10288624787775891</v>
      </c>
      <c r="R72" s="14"/>
      <c r="S72" s="17"/>
      <c r="T72" s="17"/>
      <c r="U72" s="17"/>
      <c r="X72" s="17"/>
      <c r="Z72" s="17"/>
      <c r="AA72" s="17"/>
      <c r="AC72" s="3"/>
      <c r="AE72" s="13"/>
      <c r="AF72" s="18"/>
    </row>
    <row r="73" spans="1:32" x14ac:dyDescent="0.3">
      <c r="A73" s="12" t="s">
        <v>136</v>
      </c>
      <c r="B73" s="69">
        <v>1</v>
      </c>
      <c r="C73" s="69">
        <v>5</v>
      </c>
      <c r="D73" s="69">
        <v>0</v>
      </c>
      <c r="E73" s="70">
        <v>0</v>
      </c>
      <c r="F73" s="70">
        <v>0</v>
      </c>
      <c r="G73" s="69">
        <v>9</v>
      </c>
      <c r="H73" s="70">
        <v>0</v>
      </c>
      <c r="I73" s="69">
        <v>2</v>
      </c>
      <c r="J73" s="69">
        <v>0</v>
      </c>
      <c r="K73" s="70">
        <v>0</v>
      </c>
      <c r="L73" s="71">
        <f t="shared" si="26"/>
        <v>17</v>
      </c>
      <c r="M73" s="70">
        <v>4</v>
      </c>
      <c r="N73" s="186">
        <f t="shared" si="25"/>
        <v>21</v>
      </c>
      <c r="O73" s="16">
        <f t="shared" si="24"/>
        <v>-0.72727272727272729</v>
      </c>
      <c r="R73" s="14"/>
      <c r="S73" s="17"/>
      <c r="T73" s="17"/>
      <c r="U73" s="17"/>
      <c r="X73" s="17"/>
      <c r="Z73" s="17"/>
      <c r="AA73" s="17"/>
      <c r="AC73" s="3"/>
      <c r="AE73" s="13"/>
      <c r="AF73" s="18"/>
    </row>
    <row r="74" spans="1:32" x14ac:dyDescent="0.3">
      <c r="A74" s="12" t="s">
        <v>39</v>
      </c>
      <c r="B74" s="69">
        <v>0</v>
      </c>
      <c r="C74" s="69">
        <v>900</v>
      </c>
      <c r="D74" s="69">
        <v>6</v>
      </c>
      <c r="E74" s="70">
        <v>0</v>
      </c>
      <c r="F74" s="70">
        <v>6</v>
      </c>
      <c r="G74" s="69">
        <v>0</v>
      </c>
      <c r="H74" s="70">
        <v>0</v>
      </c>
      <c r="I74" s="69">
        <v>0</v>
      </c>
      <c r="J74" s="69">
        <v>2</v>
      </c>
      <c r="K74" s="70">
        <v>0</v>
      </c>
      <c r="L74" s="71">
        <f t="shared" si="26"/>
        <v>914</v>
      </c>
      <c r="M74" s="70">
        <f>53+50</f>
        <v>103</v>
      </c>
      <c r="N74" s="186">
        <f>SUM(L74:M74)</f>
        <v>1017</v>
      </c>
      <c r="O74" s="16">
        <f t="shared" si="24"/>
        <v>-1.262135922330097E-2</v>
      </c>
      <c r="R74" s="14"/>
      <c r="S74" s="17"/>
      <c r="T74" s="17"/>
      <c r="U74" s="17"/>
      <c r="X74" s="17"/>
      <c r="Z74" s="17"/>
      <c r="AA74" s="17"/>
      <c r="AC74" s="3"/>
      <c r="AE74" s="13"/>
      <c r="AF74" s="18"/>
    </row>
    <row r="75" spans="1:32" x14ac:dyDescent="0.3">
      <c r="A75" s="12" t="s">
        <v>162</v>
      </c>
      <c r="B75" s="69">
        <v>5</v>
      </c>
      <c r="C75" s="69">
        <v>128</v>
      </c>
      <c r="D75" s="69">
        <v>0</v>
      </c>
      <c r="E75" s="70">
        <v>0</v>
      </c>
      <c r="F75" s="70">
        <v>0</v>
      </c>
      <c r="G75" s="69">
        <v>5</v>
      </c>
      <c r="H75" s="70">
        <v>0</v>
      </c>
      <c r="I75" s="69">
        <v>0</v>
      </c>
      <c r="J75" s="69">
        <v>0</v>
      </c>
      <c r="K75" s="70">
        <v>0</v>
      </c>
      <c r="L75" s="71">
        <f t="shared" si="26"/>
        <v>138</v>
      </c>
      <c r="M75" s="70">
        <v>2</v>
      </c>
      <c r="N75" s="186">
        <f t="shared" ref="N75:N77" si="27">SUM(L75:M75)</f>
        <v>140</v>
      </c>
      <c r="O75" s="16">
        <f t="shared" si="24"/>
        <v>0.9178082191780822</v>
      </c>
      <c r="R75" s="14"/>
      <c r="S75" s="17"/>
      <c r="T75" s="17"/>
      <c r="U75" s="17"/>
      <c r="X75" s="17"/>
      <c r="Z75" s="17"/>
      <c r="AA75" s="17"/>
      <c r="AC75" s="3"/>
      <c r="AE75" s="13"/>
      <c r="AF75" s="18"/>
    </row>
    <row r="76" spans="1:32" x14ac:dyDescent="0.3">
      <c r="A76" s="12" t="s">
        <v>40</v>
      </c>
      <c r="B76" s="69">
        <v>205</v>
      </c>
      <c r="C76" s="69">
        <f>459+77</f>
        <v>536</v>
      </c>
      <c r="D76" s="69">
        <v>0</v>
      </c>
      <c r="E76" s="70">
        <v>0</v>
      </c>
      <c r="F76" s="70">
        <v>0</v>
      </c>
      <c r="G76" s="69">
        <f>415+46</f>
        <v>461</v>
      </c>
      <c r="H76" s="70">
        <v>0</v>
      </c>
      <c r="I76" s="69">
        <v>29</v>
      </c>
      <c r="J76" s="69">
        <v>1</v>
      </c>
      <c r="K76" s="70">
        <v>0</v>
      </c>
      <c r="L76" s="71">
        <f t="shared" si="26"/>
        <v>1232</v>
      </c>
      <c r="M76" s="70">
        <v>463</v>
      </c>
      <c r="N76" s="186">
        <f t="shared" si="27"/>
        <v>1695</v>
      </c>
      <c r="O76" s="16">
        <f t="shared" si="24"/>
        <v>-1.4534883720930232E-2</v>
      </c>
      <c r="R76" s="14"/>
      <c r="S76" s="17"/>
      <c r="T76" s="17"/>
      <c r="U76" s="17"/>
      <c r="X76" s="17"/>
      <c r="Z76" s="17"/>
      <c r="AA76" s="17"/>
      <c r="AC76" s="3"/>
      <c r="AE76" s="13"/>
      <c r="AF76" s="18"/>
    </row>
    <row r="77" spans="1:32" x14ac:dyDescent="0.3">
      <c r="A77" s="12" t="s">
        <v>41</v>
      </c>
      <c r="B77" s="69">
        <f>1+80+5681</f>
        <v>5762</v>
      </c>
      <c r="C77" s="69">
        <f>2+153+18+3757</f>
        <v>3930</v>
      </c>
      <c r="D77" s="69">
        <v>12</v>
      </c>
      <c r="E77" s="70">
        <v>0</v>
      </c>
      <c r="F77" s="70">
        <v>7</v>
      </c>
      <c r="G77" s="69">
        <f>62+10+1063</f>
        <v>1135</v>
      </c>
      <c r="H77" s="70">
        <v>12</v>
      </c>
      <c r="I77" s="69">
        <v>181</v>
      </c>
      <c r="J77" s="69">
        <v>295</v>
      </c>
      <c r="K77" s="70">
        <v>0</v>
      </c>
      <c r="L77" s="71">
        <f>SUM(B77:K77)</f>
        <v>11334</v>
      </c>
      <c r="M77" s="70">
        <v>2350</v>
      </c>
      <c r="N77" s="186">
        <f t="shared" si="27"/>
        <v>13684</v>
      </c>
      <c r="O77" s="16">
        <f t="shared" si="24"/>
        <v>0.19510917030567684</v>
      </c>
      <c r="R77" s="14"/>
      <c r="S77" s="17"/>
      <c r="T77" s="17"/>
      <c r="U77" s="17"/>
      <c r="X77" s="17"/>
      <c r="Z77" s="17"/>
      <c r="AA77" s="17"/>
      <c r="AC77" s="3"/>
      <c r="AE77" s="13"/>
      <c r="AF77" s="18"/>
    </row>
    <row r="78" spans="1:32" s="3" customFormat="1" x14ac:dyDescent="0.3">
      <c r="A78" s="187" t="s">
        <v>24</v>
      </c>
      <c r="B78" s="71">
        <f t="shared" ref="B78:M78" si="28">SUM(B69:B77)</f>
        <v>6185</v>
      </c>
      <c r="C78" s="71">
        <f t="shared" si="28"/>
        <v>6479</v>
      </c>
      <c r="D78" s="71">
        <f t="shared" si="28"/>
        <v>28</v>
      </c>
      <c r="E78" s="71">
        <f t="shared" si="28"/>
        <v>2</v>
      </c>
      <c r="F78" s="71">
        <f t="shared" si="28"/>
        <v>14</v>
      </c>
      <c r="G78" s="71">
        <f t="shared" si="28"/>
        <v>1846</v>
      </c>
      <c r="H78" s="71">
        <f t="shared" si="28"/>
        <v>12</v>
      </c>
      <c r="I78" s="71">
        <f t="shared" si="28"/>
        <v>215</v>
      </c>
      <c r="J78" s="71">
        <f t="shared" si="28"/>
        <v>305</v>
      </c>
      <c r="K78" s="71">
        <f t="shared" si="28"/>
        <v>0</v>
      </c>
      <c r="L78" s="73">
        <f t="shared" si="28"/>
        <v>15086</v>
      </c>
      <c r="M78" s="74">
        <f t="shared" si="28"/>
        <v>4351</v>
      </c>
      <c r="N78" s="186">
        <f t="shared" ref="N78" si="29">SUM(L78:M78)</f>
        <v>19437</v>
      </c>
      <c r="O78" s="6">
        <f t="shared" si="24"/>
        <v>0.10500284252416145</v>
      </c>
      <c r="R78" s="13"/>
      <c r="S78" s="20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3"/>
      <c r="AE78" s="13"/>
      <c r="AF78" s="21"/>
    </row>
    <row r="79" spans="1:32" x14ac:dyDescent="0.3">
      <c r="A79" s="12" t="s">
        <v>0</v>
      </c>
      <c r="B79" s="22">
        <f>SUM(B78-B94)/B94</f>
        <v>0.53131963357266654</v>
      </c>
      <c r="C79" s="23">
        <f>SUM(C78-C94)/C94</f>
        <v>5.6588388780169599E-2</v>
      </c>
      <c r="D79" s="23">
        <f>SUM(D78-D94)/D94</f>
        <v>0.8666666666666667</v>
      </c>
      <c r="E79" s="23">
        <v>0</v>
      </c>
      <c r="F79" s="23">
        <f>SUM(F78-F94)/F94</f>
        <v>0.75</v>
      </c>
      <c r="G79" s="23">
        <f>SUM(G78-G94)/G94</f>
        <v>-0.27208201892744477</v>
      </c>
      <c r="H79" s="23">
        <f>SUM(H78-H94)/H94</f>
        <v>-0.45454545454545453</v>
      </c>
      <c r="I79" s="23">
        <f>SUM(I78-I94)/I94</f>
        <v>1.2872340425531914</v>
      </c>
      <c r="J79" s="23">
        <f>SUM(J78-J94)/J94</f>
        <v>-0.40891472868217055</v>
      </c>
      <c r="K79" s="23">
        <v>0</v>
      </c>
      <c r="L79" s="23">
        <f>SUM(L78-L94)/L94</f>
        <v>0.12876917321361767</v>
      </c>
      <c r="M79" s="23">
        <f>SUM(M78-M94)/M94</f>
        <v>2.9822485207100593E-2</v>
      </c>
      <c r="N79" s="24">
        <f>SUM(N78-N94)/N94</f>
        <v>0.10500284252416145</v>
      </c>
      <c r="O79" s="2"/>
      <c r="R79" s="14"/>
      <c r="S79" s="25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1"/>
    </row>
    <row r="80" spans="1:32" s="3" customFormat="1" x14ac:dyDescent="0.3">
      <c r="A80" s="27" t="s">
        <v>149</v>
      </c>
      <c r="B80" s="28"/>
      <c r="C80" s="71">
        <v>6487</v>
      </c>
      <c r="D80" s="73"/>
      <c r="E80" s="73"/>
      <c r="F80" s="71">
        <v>3</v>
      </c>
      <c r="G80" s="73"/>
      <c r="H80" s="73"/>
      <c r="I80" s="73"/>
      <c r="J80" s="71">
        <v>34</v>
      </c>
      <c r="K80" s="73"/>
      <c r="L80" s="76">
        <v>6155</v>
      </c>
      <c r="M80" s="74"/>
      <c r="N80" s="85"/>
      <c r="O80" s="6"/>
      <c r="R80" s="29"/>
      <c r="S80" s="20"/>
      <c r="U80" s="15"/>
      <c r="V80" s="15"/>
      <c r="W80" s="15"/>
      <c r="X80" s="15"/>
      <c r="Y80" s="15"/>
      <c r="Z80" s="15"/>
      <c r="AA80" s="15"/>
      <c r="AB80" s="15"/>
      <c r="AC80" s="15"/>
      <c r="AD80" s="13"/>
      <c r="AE80" s="30"/>
      <c r="AF80" s="21"/>
    </row>
    <row r="81" spans="1:18" s="3" customFormat="1" x14ac:dyDescent="0.3">
      <c r="A81" s="29"/>
      <c r="B81" s="31" t="s">
        <v>167</v>
      </c>
      <c r="D81" s="15"/>
      <c r="E81" s="15"/>
      <c r="F81" s="15"/>
      <c r="G81" s="15"/>
      <c r="H81" s="15"/>
      <c r="I81" s="15"/>
      <c r="J81" s="15"/>
      <c r="K81" s="15"/>
      <c r="L81" s="15"/>
      <c r="M81" s="13"/>
      <c r="N81" s="30"/>
      <c r="O81" s="32"/>
    </row>
    <row r="82" spans="1:18" s="3" customFormat="1" x14ac:dyDescent="0.3">
      <c r="A82" s="29"/>
      <c r="B82" s="20"/>
      <c r="D82" s="15"/>
      <c r="E82" s="15"/>
      <c r="F82" s="15"/>
      <c r="G82" s="15"/>
      <c r="H82" s="15"/>
      <c r="I82" s="15"/>
      <c r="J82" s="15"/>
      <c r="K82" s="15"/>
      <c r="L82" s="15"/>
      <c r="M82" s="13"/>
      <c r="N82" s="30"/>
      <c r="O82" s="32"/>
    </row>
    <row r="83" spans="1:18" x14ac:dyDescent="0.3">
      <c r="A83" s="11" t="s">
        <v>133</v>
      </c>
    </row>
    <row r="84" spans="1:18" s="44" customFormat="1" x14ac:dyDescent="0.3">
      <c r="A84" s="43"/>
      <c r="B84" s="43" t="s">
        <v>26</v>
      </c>
      <c r="C84" s="43" t="s">
        <v>27</v>
      </c>
      <c r="D84" s="43" t="s">
        <v>28</v>
      </c>
      <c r="E84" s="43" t="s">
        <v>29</v>
      </c>
      <c r="F84" s="43" t="s">
        <v>30</v>
      </c>
      <c r="G84" s="43" t="s">
        <v>31</v>
      </c>
      <c r="H84" s="43" t="s">
        <v>32</v>
      </c>
      <c r="I84" s="43" t="s">
        <v>121</v>
      </c>
      <c r="J84" s="43" t="s">
        <v>33</v>
      </c>
      <c r="K84" s="43" t="s">
        <v>34</v>
      </c>
      <c r="L84" s="61" t="s">
        <v>35</v>
      </c>
      <c r="M84" s="62" t="s">
        <v>36</v>
      </c>
      <c r="N84" s="63" t="s">
        <v>35</v>
      </c>
      <c r="O84" s="67"/>
    </row>
    <row r="85" spans="1:18" x14ac:dyDescent="0.3">
      <c r="A85" s="2" t="s">
        <v>138</v>
      </c>
      <c r="B85" s="69">
        <v>7</v>
      </c>
      <c r="C85" s="69">
        <v>40</v>
      </c>
      <c r="D85" s="69">
        <v>1</v>
      </c>
      <c r="E85" s="70">
        <v>0</v>
      </c>
      <c r="F85" s="70">
        <v>0</v>
      </c>
      <c r="G85" s="69">
        <v>9</v>
      </c>
      <c r="H85" s="70">
        <v>0</v>
      </c>
      <c r="I85" s="69">
        <v>0</v>
      </c>
      <c r="J85" s="69">
        <v>50</v>
      </c>
      <c r="K85" s="70">
        <v>0</v>
      </c>
      <c r="L85" s="71">
        <f>SUM(B85:K85)</f>
        <v>107</v>
      </c>
      <c r="M85" s="70">
        <v>37</v>
      </c>
      <c r="N85" s="72">
        <f>SUM(L85:M85)</f>
        <v>144</v>
      </c>
      <c r="O85" s="33"/>
      <c r="R85" s="4"/>
    </row>
    <row r="86" spans="1:18" x14ac:dyDescent="0.3">
      <c r="A86" s="12" t="s">
        <v>137</v>
      </c>
      <c r="B86" s="69">
        <v>4</v>
      </c>
      <c r="C86" s="69">
        <v>66</v>
      </c>
      <c r="D86" s="69">
        <v>0</v>
      </c>
      <c r="E86" s="70">
        <v>0</v>
      </c>
      <c r="F86" s="70">
        <v>0</v>
      </c>
      <c r="G86" s="69">
        <v>16</v>
      </c>
      <c r="H86" s="70">
        <v>0</v>
      </c>
      <c r="I86" s="69">
        <v>0</v>
      </c>
      <c r="J86" s="69">
        <v>0</v>
      </c>
      <c r="K86" s="70">
        <v>0</v>
      </c>
      <c r="L86" s="71">
        <f>SUM(B86:K86)</f>
        <v>86</v>
      </c>
      <c r="M86" s="70">
        <v>46</v>
      </c>
      <c r="N86" s="72">
        <f t="shared" ref="N86:N94" si="30">SUM(L86:M86)</f>
        <v>132</v>
      </c>
      <c r="O86" s="33"/>
    </row>
    <row r="87" spans="1:18" x14ac:dyDescent="0.3">
      <c r="A87" s="12" t="s">
        <v>37</v>
      </c>
      <c r="B87" s="69">
        <v>0</v>
      </c>
      <c r="C87" s="69">
        <v>13</v>
      </c>
      <c r="D87" s="69">
        <v>0</v>
      </c>
      <c r="E87" s="70">
        <v>0</v>
      </c>
      <c r="F87" s="70">
        <v>0</v>
      </c>
      <c r="G87" s="69">
        <v>5</v>
      </c>
      <c r="H87" s="70">
        <v>0</v>
      </c>
      <c r="I87" s="69">
        <v>0</v>
      </c>
      <c r="J87" s="69">
        <v>0</v>
      </c>
      <c r="K87" s="70">
        <v>0</v>
      </c>
      <c r="L87" s="71">
        <f t="shared" ref="L87:L92" si="31">SUM(B87:K87)</f>
        <v>18</v>
      </c>
      <c r="M87" s="70">
        <v>1</v>
      </c>
      <c r="N87" s="72">
        <f t="shared" si="30"/>
        <v>19</v>
      </c>
      <c r="O87" s="33"/>
    </row>
    <row r="88" spans="1:18" x14ac:dyDescent="0.3">
      <c r="A88" s="12" t="s">
        <v>38</v>
      </c>
      <c r="B88" s="69">
        <v>136</v>
      </c>
      <c r="C88" s="69">
        <v>800</v>
      </c>
      <c r="D88" s="69">
        <v>2</v>
      </c>
      <c r="E88" s="70">
        <v>0</v>
      </c>
      <c r="F88" s="70">
        <v>0</v>
      </c>
      <c r="G88" s="69">
        <v>439</v>
      </c>
      <c r="H88" s="70">
        <v>0</v>
      </c>
      <c r="I88" s="69">
        <v>0</v>
      </c>
      <c r="J88" s="69">
        <v>88</v>
      </c>
      <c r="K88" s="70">
        <v>1</v>
      </c>
      <c r="L88" s="71">
        <f t="shared" si="31"/>
        <v>1466</v>
      </c>
      <c r="M88" s="70">
        <v>1479</v>
      </c>
      <c r="N88" s="72">
        <f t="shared" si="30"/>
        <v>2945</v>
      </c>
      <c r="O88" s="33"/>
    </row>
    <row r="89" spans="1:18" x14ac:dyDescent="0.3">
      <c r="A89" s="12" t="s">
        <v>136</v>
      </c>
      <c r="B89" s="69">
        <v>27</v>
      </c>
      <c r="C89" s="69">
        <v>7</v>
      </c>
      <c r="D89" s="69">
        <v>0</v>
      </c>
      <c r="E89" s="70">
        <v>0</v>
      </c>
      <c r="F89" s="70">
        <v>0</v>
      </c>
      <c r="G89" s="69">
        <v>31</v>
      </c>
      <c r="H89" s="70">
        <v>0</v>
      </c>
      <c r="I89" s="69">
        <v>0</v>
      </c>
      <c r="J89" s="69">
        <v>0</v>
      </c>
      <c r="K89" s="70">
        <v>0</v>
      </c>
      <c r="L89" s="71">
        <f t="shared" si="31"/>
        <v>65</v>
      </c>
      <c r="M89" s="70">
        <v>12</v>
      </c>
      <c r="N89" s="72">
        <f t="shared" si="30"/>
        <v>77</v>
      </c>
      <c r="O89" s="33"/>
    </row>
    <row r="90" spans="1:18" x14ac:dyDescent="0.3">
      <c r="A90" s="12" t="s">
        <v>39</v>
      </c>
      <c r="B90" s="69">
        <v>0</v>
      </c>
      <c r="C90" s="69">
        <v>900</v>
      </c>
      <c r="D90" s="69">
        <v>2</v>
      </c>
      <c r="E90" s="70">
        <v>0</v>
      </c>
      <c r="F90" s="70">
        <v>3</v>
      </c>
      <c r="G90" s="69"/>
      <c r="H90" s="70">
        <v>0</v>
      </c>
      <c r="I90" s="69">
        <v>0</v>
      </c>
      <c r="J90" s="69">
        <v>84</v>
      </c>
      <c r="K90" s="70">
        <v>0</v>
      </c>
      <c r="L90" s="71">
        <f t="shared" si="31"/>
        <v>989</v>
      </c>
      <c r="M90" s="70">
        <v>41</v>
      </c>
      <c r="N90" s="72">
        <f>SUM(L90:M90)</f>
        <v>1030</v>
      </c>
      <c r="O90" s="33"/>
    </row>
    <row r="91" spans="1:18" x14ac:dyDescent="0.3">
      <c r="A91" s="12" t="s">
        <v>135</v>
      </c>
      <c r="B91" s="69">
        <v>29</v>
      </c>
      <c r="C91" s="69">
        <v>23</v>
      </c>
      <c r="D91" s="69">
        <v>7</v>
      </c>
      <c r="E91" s="70">
        <v>0</v>
      </c>
      <c r="F91" s="70">
        <v>0</v>
      </c>
      <c r="G91" s="69">
        <v>3</v>
      </c>
      <c r="H91" s="70">
        <v>0</v>
      </c>
      <c r="I91" s="69">
        <v>0</v>
      </c>
      <c r="J91" s="69">
        <v>0</v>
      </c>
      <c r="K91" s="70">
        <v>1</v>
      </c>
      <c r="L91" s="71">
        <f t="shared" si="31"/>
        <v>63</v>
      </c>
      <c r="M91" s="70">
        <v>10</v>
      </c>
      <c r="N91" s="72">
        <f t="shared" si="30"/>
        <v>73</v>
      </c>
      <c r="O91" s="33"/>
    </row>
    <row r="92" spans="1:18" x14ac:dyDescent="0.3">
      <c r="A92" s="12" t="s">
        <v>40</v>
      </c>
      <c r="B92" s="69">
        <v>74</v>
      </c>
      <c r="C92" s="69">
        <v>735</v>
      </c>
      <c r="D92" s="69">
        <v>1</v>
      </c>
      <c r="E92" s="70">
        <v>0</v>
      </c>
      <c r="F92" s="70">
        <v>0</v>
      </c>
      <c r="G92" s="69">
        <v>398</v>
      </c>
      <c r="H92" s="70">
        <v>0</v>
      </c>
      <c r="I92" s="69">
        <v>3</v>
      </c>
      <c r="J92" s="69">
        <v>5</v>
      </c>
      <c r="K92" s="70">
        <v>0</v>
      </c>
      <c r="L92" s="71">
        <f t="shared" si="31"/>
        <v>1216</v>
      </c>
      <c r="M92" s="70">
        <v>504</v>
      </c>
      <c r="N92" s="72">
        <f t="shared" si="30"/>
        <v>1720</v>
      </c>
      <c r="O92" s="33"/>
    </row>
    <row r="93" spans="1:18" x14ac:dyDescent="0.3">
      <c r="A93" s="12" t="s">
        <v>41</v>
      </c>
      <c r="B93" s="69">
        <v>3762</v>
      </c>
      <c r="C93" s="69">
        <v>3548</v>
      </c>
      <c r="D93" s="69">
        <v>2</v>
      </c>
      <c r="E93" s="70">
        <v>0</v>
      </c>
      <c r="F93" s="70">
        <v>5</v>
      </c>
      <c r="G93" s="69">
        <v>1635</v>
      </c>
      <c r="H93" s="70">
        <v>22</v>
      </c>
      <c r="I93" s="69">
        <v>91</v>
      </c>
      <c r="J93" s="69">
        <v>289</v>
      </c>
      <c r="K93" s="70">
        <v>1</v>
      </c>
      <c r="L93" s="71">
        <f>SUM(B93:K93)</f>
        <v>9355</v>
      </c>
      <c r="M93" s="70">
        <v>2095</v>
      </c>
      <c r="N93" s="72">
        <f t="shared" si="30"/>
        <v>11450</v>
      </c>
      <c r="O93" s="33"/>
    </row>
    <row r="94" spans="1:18" s="3" customFormat="1" x14ac:dyDescent="0.3">
      <c r="A94" s="187" t="s">
        <v>24</v>
      </c>
      <c r="B94" s="71">
        <f t="shared" ref="B94:M94" si="32">SUM(B85:B93)</f>
        <v>4039</v>
      </c>
      <c r="C94" s="71">
        <f t="shared" si="32"/>
        <v>6132</v>
      </c>
      <c r="D94" s="71">
        <f t="shared" si="32"/>
        <v>15</v>
      </c>
      <c r="E94" s="71">
        <f t="shared" si="32"/>
        <v>0</v>
      </c>
      <c r="F94" s="71">
        <f t="shared" si="32"/>
        <v>8</v>
      </c>
      <c r="G94" s="71">
        <f t="shared" si="32"/>
        <v>2536</v>
      </c>
      <c r="H94" s="71">
        <f t="shared" si="32"/>
        <v>22</v>
      </c>
      <c r="I94" s="71">
        <f t="shared" si="32"/>
        <v>94</v>
      </c>
      <c r="J94" s="71">
        <f t="shared" si="32"/>
        <v>516</v>
      </c>
      <c r="K94" s="71">
        <f t="shared" si="32"/>
        <v>3</v>
      </c>
      <c r="L94" s="73">
        <f t="shared" si="32"/>
        <v>13365</v>
      </c>
      <c r="M94" s="76">
        <f t="shared" si="32"/>
        <v>4225</v>
      </c>
      <c r="N94" s="72">
        <f t="shared" si="30"/>
        <v>17590</v>
      </c>
      <c r="O94" s="34"/>
    </row>
    <row r="95" spans="1:18" s="3" customFormat="1" x14ac:dyDescent="0.3">
      <c r="A95" s="27" t="s">
        <v>149</v>
      </c>
      <c r="B95" s="28"/>
      <c r="C95" s="71">
        <v>3128</v>
      </c>
      <c r="D95" s="73"/>
      <c r="E95" s="73"/>
      <c r="F95" s="73"/>
      <c r="G95" s="73"/>
      <c r="H95" s="73"/>
      <c r="I95" s="73"/>
      <c r="J95" s="73"/>
      <c r="K95" s="73"/>
      <c r="L95" s="78">
        <v>3128</v>
      </c>
      <c r="M95" s="74"/>
      <c r="N95" s="85"/>
      <c r="O95" s="34"/>
    </row>
    <row r="96" spans="1:18" x14ac:dyDescent="0.3">
      <c r="A96" s="14"/>
      <c r="B96" s="35"/>
      <c r="C96" s="26"/>
      <c r="D96" s="26"/>
      <c r="E96" s="26"/>
      <c r="F96" s="26"/>
      <c r="G96" s="26"/>
      <c r="H96" s="26"/>
      <c r="I96" s="26"/>
      <c r="J96" s="26"/>
      <c r="K96" s="26"/>
      <c r="L96" s="21"/>
      <c r="M96" s="26"/>
      <c r="N96" s="21"/>
    </row>
    <row r="97" spans="1:14" x14ac:dyDescent="0.3">
      <c r="B97" s="37"/>
    </row>
    <row r="99" spans="1:14" x14ac:dyDescent="0.3">
      <c r="A99" s="92" t="s">
        <v>234</v>
      </c>
      <c r="B99" s="92"/>
      <c r="C99" s="92"/>
      <c r="D99" s="92"/>
      <c r="E99" s="92"/>
    </row>
    <row r="100" spans="1:14" x14ac:dyDescent="0.3">
      <c r="A100" s="43"/>
      <c r="B100" s="62" t="s">
        <v>50</v>
      </c>
      <c r="C100" s="68" t="s">
        <v>134</v>
      </c>
      <c r="D100" s="62" t="s">
        <v>34</v>
      </c>
      <c r="E100" s="62" t="s">
        <v>31</v>
      </c>
      <c r="F100" s="84" t="s">
        <v>35</v>
      </c>
      <c r="G100" s="68" t="s">
        <v>53</v>
      </c>
    </row>
    <row r="101" spans="1:14" x14ac:dyDescent="0.3">
      <c r="A101" s="12" t="s">
        <v>52</v>
      </c>
      <c r="B101" s="2">
        <v>0</v>
      </c>
      <c r="C101" s="2">
        <v>1</v>
      </c>
      <c r="D101" s="2">
        <v>0</v>
      </c>
      <c r="E101" s="2">
        <v>0</v>
      </c>
      <c r="F101" s="5">
        <f>SUM(B101:E101)</f>
        <v>1</v>
      </c>
      <c r="G101" s="2" t="s">
        <v>248</v>
      </c>
    </row>
    <row r="102" spans="1:14" x14ac:dyDescent="0.3">
      <c r="A102" s="12" t="s">
        <v>38</v>
      </c>
      <c r="B102" s="2">
        <v>0</v>
      </c>
      <c r="C102" s="2">
        <v>3</v>
      </c>
      <c r="D102" s="2">
        <v>0</v>
      </c>
      <c r="E102" s="2">
        <v>0</v>
      </c>
      <c r="F102" s="5">
        <f t="shared" ref="F102:F104" si="33">SUM(B102:E102)</f>
        <v>3</v>
      </c>
      <c r="G102" s="2" t="s">
        <v>248</v>
      </c>
    </row>
    <row r="103" spans="1:14" x14ac:dyDescent="0.3">
      <c r="A103" s="12" t="s">
        <v>40</v>
      </c>
      <c r="B103" s="2">
        <v>0</v>
      </c>
      <c r="C103" s="2">
        <v>1</v>
      </c>
      <c r="D103" s="2">
        <v>0</v>
      </c>
      <c r="E103" s="2">
        <v>0</v>
      </c>
      <c r="F103" s="5">
        <f t="shared" si="33"/>
        <v>1</v>
      </c>
      <c r="G103" s="2" t="s">
        <v>248</v>
      </c>
    </row>
    <row r="104" spans="1:14" x14ac:dyDescent="0.3">
      <c r="A104" s="12" t="s">
        <v>41</v>
      </c>
      <c r="B104" s="2">
        <v>1</v>
      </c>
      <c r="C104" s="2">
        <v>301</v>
      </c>
      <c r="D104" s="2">
        <v>0</v>
      </c>
      <c r="E104" s="2">
        <v>33</v>
      </c>
      <c r="F104" s="5">
        <f t="shared" si="33"/>
        <v>335</v>
      </c>
      <c r="G104" s="16">
        <f>(335-169)/169</f>
        <v>0.98224852071005919</v>
      </c>
    </row>
    <row r="105" spans="1:14" x14ac:dyDescent="0.3">
      <c r="A105" s="8" t="s">
        <v>24</v>
      </c>
      <c r="B105" s="38">
        <f>SUM(B101:B104)</f>
        <v>1</v>
      </c>
      <c r="C105" s="38">
        <f>SUM(C101:C104)</f>
        <v>306</v>
      </c>
      <c r="D105" s="38">
        <f t="shared" ref="D105:E105" si="34">SUM(D101:D104)</f>
        <v>0</v>
      </c>
      <c r="E105" s="38">
        <f t="shared" si="34"/>
        <v>33</v>
      </c>
      <c r="F105" s="5">
        <f>SUM(B105:E105)</f>
        <v>340</v>
      </c>
      <c r="G105" s="101">
        <v>0.95</v>
      </c>
    </row>
    <row r="106" spans="1:14" x14ac:dyDescent="0.3">
      <c r="A106" s="10" t="s">
        <v>0</v>
      </c>
      <c r="B106" s="2"/>
      <c r="C106" s="16">
        <f>(306-164)/164</f>
        <v>0.86585365853658536</v>
      </c>
      <c r="D106" s="2"/>
      <c r="E106" s="16">
        <f>(33-10)/10</f>
        <v>2.2999999999999998</v>
      </c>
      <c r="F106" s="16">
        <f>(340-174)/174</f>
        <v>0.95402298850574707</v>
      </c>
      <c r="G106" s="2"/>
    </row>
    <row r="108" spans="1:14" x14ac:dyDescent="0.3">
      <c r="A108" s="188"/>
      <c r="B108" s="188"/>
      <c r="C108" s="188"/>
      <c r="D108" s="188"/>
      <c r="E108" s="188"/>
      <c r="F108" s="188"/>
      <c r="G108" s="188"/>
    </row>
    <row r="109" spans="1:14" x14ac:dyDescent="0.3">
      <c r="A109" s="189" t="s">
        <v>230</v>
      </c>
      <c r="B109" s="189"/>
      <c r="C109" s="189"/>
      <c r="D109" s="189"/>
      <c r="E109" s="189"/>
      <c r="F109" s="188"/>
      <c r="G109" s="188"/>
    </row>
    <row r="110" spans="1:14" x14ac:dyDescent="0.3">
      <c r="A110" s="190"/>
      <c r="B110" s="191" t="s">
        <v>50</v>
      </c>
      <c r="C110" s="192" t="s">
        <v>134</v>
      </c>
      <c r="D110" s="191" t="s">
        <v>34</v>
      </c>
      <c r="E110" s="191" t="s">
        <v>31</v>
      </c>
      <c r="F110" s="193" t="s">
        <v>35</v>
      </c>
      <c r="G110" s="192" t="s">
        <v>53</v>
      </c>
    </row>
    <row r="111" spans="1:14" s="3" customFormat="1" x14ac:dyDescent="0.3">
      <c r="A111" s="194" t="s">
        <v>52</v>
      </c>
      <c r="B111" s="195">
        <v>0</v>
      </c>
      <c r="C111" s="195">
        <v>1</v>
      </c>
      <c r="D111" s="195">
        <v>0</v>
      </c>
      <c r="E111" s="195">
        <v>0</v>
      </c>
      <c r="F111" s="183">
        <f t="shared" ref="F111:F113" si="35">SUM(B111:E111)</f>
        <v>1</v>
      </c>
      <c r="G111" s="24"/>
      <c r="L111" s="15"/>
      <c r="M111" s="13"/>
      <c r="N111" s="13"/>
    </row>
    <row r="112" spans="1:14" x14ac:dyDescent="0.3">
      <c r="A112" s="194" t="s">
        <v>38</v>
      </c>
      <c r="B112" s="195">
        <v>0</v>
      </c>
      <c r="C112" s="195">
        <v>1</v>
      </c>
      <c r="D112" s="195">
        <v>0</v>
      </c>
      <c r="E112" s="195">
        <v>2</v>
      </c>
      <c r="F112" s="183">
        <f t="shared" si="35"/>
        <v>3</v>
      </c>
      <c r="G112" s="24">
        <f t="shared" ref="G112:G113" si="36">SUM(F112-F122)/F122</f>
        <v>0</v>
      </c>
    </row>
    <row r="113" spans="1:14" s="44" customFormat="1" x14ac:dyDescent="0.3">
      <c r="A113" s="194" t="s">
        <v>40</v>
      </c>
      <c r="B113" s="195">
        <v>0</v>
      </c>
      <c r="C113" s="195">
        <v>1</v>
      </c>
      <c r="D113" s="195">
        <v>0</v>
      </c>
      <c r="E113" s="195">
        <v>0</v>
      </c>
      <c r="F113" s="183">
        <f t="shared" si="35"/>
        <v>1</v>
      </c>
      <c r="G113" s="24">
        <f t="shared" si="36"/>
        <v>-0.66666666666666663</v>
      </c>
    </row>
    <row r="114" spans="1:14" x14ac:dyDescent="0.3">
      <c r="A114" s="194" t="s">
        <v>41</v>
      </c>
      <c r="B114" s="195">
        <v>0</v>
      </c>
      <c r="C114" s="195">
        <v>161</v>
      </c>
      <c r="D114" s="195">
        <v>0</v>
      </c>
      <c r="E114" s="195">
        <v>8</v>
      </c>
      <c r="F114" s="183">
        <f>SUM(B114:E114)</f>
        <v>169</v>
      </c>
      <c r="G114" s="24">
        <f>SUM(F114-F124)/F124</f>
        <v>3.2250000000000001</v>
      </c>
      <c r="J114" s="3"/>
      <c r="N114" s="1"/>
    </row>
    <row r="115" spans="1:14" x14ac:dyDescent="0.3">
      <c r="A115" s="187" t="s">
        <v>24</v>
      </c>
      <c r="B115" s="196">
        <f>SUM(B111:B114)</f>
        <v>0</v>
      </c>
      <c r="C115" s="197">
        <f>SUM(C111:C114)</f>
        <v>164</v>
      </c>
      <c r="D115" s="198">
        <f>SUM(D111:D114)</f>
        <v>0</v>
      </c>
      <c r="E115" s="198">
        <v>10</v>
      </c>
      <c r="F115" s="199">
        <f>SUM(B115:E115)</f>
        <v>174</v>
      </c>
      <c r="G115" s="24">
        <f>SUM(F115-F125)/F125</f>
        <v>2.7826086956521738</v>
      </c>
      <c r="J115" s="3"/>
      <c r="N115" s="1"/>
    </row>
    <row r="116" spans="1:14" x14ac:dyDescent="0.3">
      <c r="A116" s="187" t="s">
        <v>0</v>
      </c>
      <c r="B116" s="200" t="s">
        <v>164</v>
      </c>
      <c r="C116" s="200">
        <f>SUM(C115-C125)/C125</f>
        <v>5.0740740740740744</v>
      </c>
      <c r="D116" s="200">
        <v>0</v>
      </c>
      <c r="E116" s="200">
        <f>SUM(E115-E125)/E125</f>
        <v>2.3333333333333335</v>
      </c>
      <c r="F116" s="200">
        <f>SUM(F115-F125)/F125</f>
        <v>2.7826086956521738</v>
      </c>
      <c r="G116" s="201"/>
      <c r="J116" s="3"/>
      <c r="N116" s="1"/>
    </row>
    <row r="117" spans="1:14" x14ac:dyDescent="0.3">
      <c r="A117" s="188"/>
      <c r="B117" s="188"/>
      <c r="C117" s="188"/>
      <c r="D117" s="188"/>
      <c r="E117" s="188"/>
      <c r="F117" s="188"/>
      <c r="G117" s="188"/>
      <c r="J117" s="3"/>
      <c r="N117" s="1"/>
    </row>
    <row r="118" spans="1:14" s="3" customFormat="1" x14ac:dyDescent="0.3">
      <c r="A118" s="202"/>
      <c r="B118" s="201"/>
      <c r="C118" s="201"/>
      <c r="D118" s="201"/>
      <c r="E118" s="201"/>
      <c r="F118" s="201"/>
      <c r="G118" s="201"/>
    </row>
    <row r="119" spans="1:14" s="3" customFormat="1" x14ac:dyDescent="0.3">
      <c r="A119" s="189" t="s">
        <v>182</v>
      </c>
      <c r="B119" s="189"/>
      <c r="C119" s="189"/>
      <c r="D119" s="189"/>
      <c r="E119" s="189"/>
      <c r="F119" s="188"/>
      <c r="G119" s="188"/>
    </row>
    <row r="120" spans="1:14" s="3" customFormat="1" x14ac:dyDescent="0.3">
      <c r="A120" s="190"/>
      <c r="B120" s="191" t="s">
        <v>50</v>
      </c>
      <c r="C120" s="192" t="s">
        <v>134</v>
      </c>
      <c r="D120" s="191" t="s">
        <v>34</v>
      </c>
      <c r="E120" s="191" t="s">
        <v>31</v>
      </c>
      <c r="F120" s="193" t="s">
        <v>35</v>
      </c>
      <c r="G120" s="192" t="s">
        <v>53</v>
      </c>
    </row>
    <row r="121" spans="1:14" s="3" customFormat="1" x14ac:dyDescent="0.3">
      <c r="A121" s="194" t="s">
        <v>52</v>
      </c>
      <c r="B121" s="195">
        <v>0</v>
      </c>
      <c r="C121" s="195">
        <v>0</v>
      </c>
      <c r="D121" s="195">
        <v>0</v>
      </c>
      <c r="E121" s="195">
        <v>0</v>
      </c>
      <c r="F121" s="183">
        <f t="shared" ref="F121:F123" si="37">SUM(B121:E121)</f>
        <v>0</v>
      </c>
      <c r="G121" s="24"/>
      <c r="L121" s="15"/>
      <c r="M121" s="13"/>
      <c r="N121" s="13"/>
    </row>
    <row r="122" spans="1:14" x14ac:dyDescent="0.3">
      <c r="A122" s="194" t="s">
        <v>38</v>
      </c>
      <c r="B122" s="195">
        <v>1</v>
      </c>
      <c r="C122" s="195">
        <v>2</v>
      </c>
      <c r="D122" s="195">
        <v>0</v>
      </c>
      <c r="E122" s="195">
        <v>0</v>
      </c>
      <c r="F122" s="183">
        <f t="shared" si="37"/>
        <v>3</v>
      </c>
      <c r="G122" s="24">
        <f t="shared" ref="G122:G123" si="38">SUM(F122-F132)/F132</f>
        <v>-0.86363636363636365</v>
      </c>
    </row>
    <row r="123" spans="1:14" s="44" customFormat="1" x14ac:dyDescent="0.3">
      <c r="A123" s="194" t="s">
        <v>40</v>
      </c>
      <c r="B123" s="195">
        <v>3</v>
      </c>
      <c r="C123" s="195">
        <v>0</v>
      </c>
      <c r="D123" s="195">
        <v>0</v>
      </c>
      <c r="E123" s="195">
        <v>0</v>
      </c>
      <c r="F123" s="183">
        <f t="shared" si="37"/>
        <v>3</v>
      </c>
      <c r="G123" s="24">
        <f t="shared" si="38"/>
        <v>-0.25</v>
      </c>
    </row>
    <row r="124" spans="1:14" x14ac:dyDescent="0.3">
      <c r="A124" s="194" t="s">
        <v>41</v>
      </c>
      <c r="B124" s="195">
        <v>9</v>
      </c>
      <c r="C124" s="195">
        <v>25</v>
      </c>
      <c r="D124" s="195">
        <v>3</v>
      </c>
      <c r="E124" s="195">
        <v>3</v>
      </c>
      <c r="F124" s="183">
        <f>SUM(B124:E124)</f>
        <v>40</v>
      </c>
      <c r="G124" s="24">
        <f>SUM(F124-F134)/F134</f>
        <v>-0.90783410138248843</v>
      </c>
      <c r="J124" s="3"/>
      <c r="N124" s="1"/>
    </row>
    <row r="125" spans="1:14" x14ac:dyDescent="0.3">
      <c r="A125" s="187" t="s">
        <v>24</v>
      </c>
      <c r="B125" s="196">
        <f>SUM(B121:B124)</f>
        <v>13</v>
      </c>
      <c r="C125" s="197">
        <f>SUM(C121:C124)</f>
        <v>27</v>
      </c>
      <c r="D125" s="198">
        <f>SUM(D121:D124)</f>
        <v>3</v>
      </c>
      <c r="E125" s="198">
        <v>3</v>
      </c>
      <c r="F125" s="199">
        <f>SUM(B125:E125)</f>
        <v>46</v>
      </c>
      <c r="G125" s="24">
        <f>SUM(F125-F135)/F135</f>
        <v>-0.89823008849557517</v>
      </c>
      <c r="J125" s="3"/>
      <c r="N125" s="1"/>
    </row>
    <row r="126" spans="1:14" x14ac:dyDescent="0.3">
      <c r="A126" s="187" t="s">
        <v>0</v>
      </c>
      <c r="B126" s="200"/>
      <c r="C126" s="200">
        <f>SUM(C125-C135)/C135</f>
        <v>-0.93181818181818177</v>
      </c>
      <c r="D126" s="200">
        <v>0</v>
      </c>
      <c r="E126" s="200">
        <f>SUM(E125-E135)/E135</f>
        <v>-0.9464285714285714</v>
      </c>
      <c r="F126" s="200">
        <f>SUM(F125-F135)/F135</f>
        <v>-0.89823008849557517</v>
      </c>
      <c r="G126" s="201"/>
      <c r="J126" s="3"/>
      <c r="N126" s="1"/>
    </row>
    <row r="127" spans="1:14" x14ac:dyDescent="0.3">
      <c r="A127" s="202"/>
      <c r="B127" s="203"/>
      <c r="C127" s="203"/>
      <c r="D127" s="203"/>
      <c r="E127" s="203"/>
      <c r="F127" s="203"/>
      <c r="G127" s="201"/>
      <c r="I127" s="1" t="s">
        <v>164</v>
      </c>
      <c r="J127" s="3"/>
      <c r="N127" s="1"/>
    </row>
    <row r="128" spans="1:14" s="3" customFormat="1" x14ac:dyDescent="0.3">
      <c r="A128" s="204"/>
      <c r="B128" s="205"/>
      <c r="C128" s="205"/>
      <c r="D128" s="205"/>
      <c r="E128" s="205"/>
      <c r="F128" s="201"/>
      <c r="G128" s="201"/>
    </row>
    <row r="129" spans="1:14" s="3" customFormat="1" x14ac:dyDescent="0.3">
      <c r="A129" s="189" t="s">
        <v>169</v>
      </c>
      <c r="B129" s="206"/>
      <c r="C129" s="206"/>
      <c r="D129" s="206"/>
      <c r="E129" s="206"/>
      <c r="F129" s="188"/>
      <c r="G129" s="188"/>
    </row>
    <row r="130" spans="1:14" s="3" customFormat="1" x14ac:dyDescent="0.3">
      <c r="A130" s="190"/>
      <c r="B130" s="191" t="s">
        <v>50</v>
      </c>
      <c r="C130" s="192" t="s">
        <v>134</v>
      </c>
      <c r="D130" s="191" t="s">
        <v>34</v>
      </c>
      <c r="E130" s="191" t="s">
        <v>31</v>
      </c>
      <c r="F130" s="193" t="s">
        <v>35</v>
      </c>
      <c r="G130" s="192" t="s">
        <v>53</v>
      </c>
    </row>
    <row r="131" spans="1:14" x14ac:dyDescent="0.3">
      <c r="A131" s="194" t="s">
        <v>52</v>
      </c>
      <c r="B131" s="195">
        <v>0</v>
      </c>
      <c r="C131" s="195">
        <v>0</v>
      </c>
      <c r="D131" s="195">
        <v>0</v>
      </c>
      <c r="E131" s="195">
        <v>1</v>
      </c>
      <c r="F131" s="183">
        <f t="shared" ref="F131:F133" si="39">SUM(B131:E131)</f>
        <v>1</v>
      </c>
      <c r="G131" s="24">
        <f t="shared" ref="G131:G133" si="40">SUM(F131-F141)/F141</f>
        <v>-0.5</v>
      </c>
    </row>
    <row r="132" spans="1:14" x14ac:dyDescent="0.3">
      <c r="A132" s="194" t="s">
        <v>38</v>
      </c>
      <c r="B132" s="195">
        <v>0</v>
      </c>
      <c r="C132" s="195">
        <v>7</v>
      </c>
      <c r="D132" s="195">
        <v>0</v>
      </c>
      <c r="E132" s="195">
        <v>15</v>
      </c>
      <c r="F132" s="183">
        <f t="shared" si="39"/>
        <v>22</v>
      </c>
      <c r="G132" s="24">
        <f t="shared" si="40"/>
        <v>-0.3888888888888889</v>
      </c>
    </row>
    <row r="133" spans="1:14" s="44" customFormat="1" x14ac:dyDescent="0.3">
      <c r="A133" s="194" t="s">
        <v>40</v>
      </c>
      <c r="B133" s="195">
        <v>0</v>
      </c>
      <c r="C133" s="195">
        <v>4</v>
      </c>
      <c r="D133" s="195">
        <v>0</v>
      </c>
      <c r="E133" s="195">
        <v>0</v>
      </c>
      <c r="F133" s="183">
        <f t="shared" si="39"/>
        <v>4</v>
      </c>
      <c r="G133" s="24">
        <f t="shared" si="40"/>
        <v>1</v>
      </c>
    </row>
    <row r="134" spans="1:14" x14ac:dyDescent="0.3">
      <c r="A134" s="194" t="s">
        <v>41</v>
      </c>
      <c r="B134" s="195">
        <v>9</v>
      </c>
      <c r="C134" s="195">
        <v>385</v>
      </c>
      <c r="D134" s="195">
        <v>0</v>
      </c>
      <c r="E134" s="195">
        <v>40</v>
      </c>
      <c r="F134" s="183">
        <f>SUM(B134:E134)</f>
        <v>434</v>
      </c>
      <c r="G134" s="24">
        <f>SUM(F134-F144)/F144</f>
        <v>-0.17017208413001911</v>
      </c>
      <c r="J134" s="3"/>
      <c r="N134" s="1"/>
    </row>
    <row r="135" spans="1:14" x14ac:dyDescent="0.3">
      <c r="A135" s="187" t="s">
        <v>24</v>
      </c>
      <c r="B135" s="196">
        <v>0</v>
      </c>
      <c r="C135" s="197">
        <f>SUM(C131:C134)</f>
        <v>396</v>
      </c>
      <c r="D135" s="198">
        <f>SUM(D131:D134)</f>
        <v>0</v>
      </c>
      <c r="E135" s="198">
        <f>SUM(E131:E134)</f>
        <v>56</v>
      </c>
      <c r="F135" s="199">
        <f>SUM(B135:E135)</f>
        <v>452</v>
      </c>
      <c r="G135" s="24">
        <f>SUM(F135-F145)/F145</f>
        <v>-0.19715808170515098</v>
      </c>
      <c r="J135" s="3"/>
      <c r="N135" s="1"/>
    </row>
    <row r="136" spans="1:14" x14ac:dyDescent="0.3">
      <c r="A136" s="187" t="s">
        <v>0</v>
      </c>
      <c r="B136" s="200"/>
      <c r="C136" s="200">
        <f>SUM(C135-C145)/C145</f>
        <v>-0.15021459227467812</v>
      </c>
      <c r="D136" s="200">
        <v>0</v>
      </c>
      <c r="E136" s="200">
        <f>SUM(E135-E145)/E145</f>
        <v>-0.41666666666666669</v>
      </c>
      <c r="F136" s="200">
        <f>SUM(F135-F145)/F145</f>
        <v>-0.19715808170515098</v>
      </c>
      <c r="G136" s="201"/>
      <c r="J136" s="3"/>
      <c r="N136" s="1"/>
    </row>
    <row r="137" spans="1:14" x14ac:dyDescent="0.3">
      <c r="A137" s="202"/>
      <c r="B137" s="203"/>
      <c r="C137" s="203"/>
      <c r="D137" s="203"/>
      <c r="E137" s="203"/>
      <c r="F137" s="203"/>
      <c r="G137" s="201"/>
      <c r="I137" s="1" t="s">
        <v>164</v>
      </c>
      <c r="J137" s="3"/>
      <c r="N137" s="1"/>
    </row>
    <row r="138" spans="1:14" s="3" customFormat="1" x14ac:dyDescent="0.3">
      <c r="A138" s="188"/>
      <c r="B138" s="188"/>
      <c r="C138" s="188"/>
      <c r="D138" s="188"/>
      <c r="E138" s="188"/>
      <c r="F138" s="188"/>
      <c r="G138" s="188"/>
    </row>
    <row r="139" spans="1:14" s="3" customFormat="1" x14ac:dyDescent="0.3">
      <c r="A139" s="189" t="s">
        <v>158</v>
      </c>
      <c r="B139" s="206"/>
      <c r="C139" s="206"/>
      <c r="D139" s="206"/>
      <c r="E139" s="206"/>
      <c r="F139" s="188"/>
      <c r="G139" s="188"/>
    </row>
    <row r="140" spans="1:14" s="3" customFormat="1" x14ac:dyDescent="0.3">
      <c r="A140" s="190"/>
      <c r="B140" s="191" t="s">
        <v>50</v>
      </c>
      <c r="C140" s="192" t="s">
        <v>134</v>
      </c>
      <c r="D140" s="191" t="s">
        <v>34</v>
      </c>
      <c r="E140" s="191" t="s">
        <v>31</v>
      </c>
      <c r="F140" s="193" t="s">
        <v>35</v>
      </c>
      <c r="G140" s="192" t="s">
        <v>53</v>
      </c>
      <c r="H140" s="115"/>
      <c r="I140" s="115"/>
    </row>
    <row r="141" spans="1:14" x14ac:dyDescent="0.3">
      <c r="A141" s="194" t="s">
        <v>52</v>
      </c>
      <c r="B141" s="195">
        <v>0</v>
      </c>
      <c r="C141" s="195">
        <v>0</v>
      </c>
      <c r="D141" s="195">
        <v>0</v>
      </c>
      <c r="E141" s="195">
        <v>2</v>
      </c>
      <c r="F141" s="183">
        <f t="shared" ref="F141:F143" si="41">SUM(B141:E141)</f>
        <v>2</v>
      </c>
      <c r="G141" s="24">
        <f>(2-4)/4</f>
        <v>-0.5</v>
      </c>
      <c r="H141" s="32"/>
      <c r="I141" s="113"/>
    </row>
    <row r="142" spans="1:14" s="44" customFormat="1" x14ac:dyDescent="0.3">
      <c r="A142" s="194" t="s">
        <v>38</v>
      </c>
      <c r="B142" s="195">
        <v>0</v>
      </c>
      <c r="C142" s="195">
        <v>7</v>
      </c>
      <c r="D142" s="195">
        <v>0</v>
      </c>
      <c r="E142" s="195">
        <v>29</v>
      </c>
      <c r="F142" s="183">
        <f t="shared" si="41"/>
        <v>36</v>
      </c>
      <c r="G142" s="24">
        <f>SUM(F142-G151)/G151</f>
        <v>0.2857142857142857</v>
      </c>
      <c r="H142" s="32"/>
      <c r="I142" s="113"/>
      <c r="K142" s="77" t="s">
        <v>147</v>
      </c>
    </row>
    <row r="143" spans="1:14" x14ac:dyDescent="0.3">
      <c r="A143" s="194" t="s">
        <v>40</v>
      </c>
      <c r="B143" s="195">
        <v>0</v>
      </c>
      <c r="C143" s="195">
        <v>1</v>
      </c>
      <c r="D143" s="195">
        <v>0</v>
      </c>
      <c r="E143" s="195">
        <v>1</v>
      </c>
      <c r="F143" s="183">
        <f t="shared" si="41"/>
        <v>2</v>
      </c>
      <c r="G143" s="24">
        <f>SUM(F143-G152)/G152</f>
        <v>-0.92592592592592593</v>
      </c>
      <c r="H143" s="32"/>
      <c r="I143" s="113"/>
      <c r="K143" s="1" t="s">
        <v>148</v>
      </c>
    </row>
    <row r="144" spans="1:14" x14ac:dyDescent="0.3">
      <c r="A144" s="194" t="s">
        <v>41</v>
      </c>
      <c r="B144" s="195">
        <v>1</v>
      </c>
      <c r="C144" s="195">
        <v>458</v>
      </c>
      <c r="D144" s="195">
        <v>0</v>
      </c>
      <c r="E144" s="195">
        <v>64</v>
      </c>
      <c r="F144" s="183">
        <f>SUM(B144:E144)</f>
        <v>523</v>
      </c>
      <c r="G144" s="24">
        <f>SUM(F144-G153)/G153</f>
        <v>-0.12395309882747069</v>
      </c>
      <c r="H144" s="32"/>
      <c r="I144" s="113"/>
    </row>
    <row r="145" spans="1:9" x14ac:dyDescent="0.3">
      <c r="A145" s="187" t="s">
        <v>24</v>
      </c>
      <c r="B145" s="196">
        <v>1</v>
      </c>
      <c r="C145" s="201">
        <f>SUM(C141:C144)</f>
        <v>466</v>
      </c>
      <c r="D145" s="196">
        <f>SUM(D141:D144)</f>
        <v>0</v>
      </c>
      <c r="E145" s="196">
        <f>SUM(E141:E144)</f>
        <v>96</v>
      </c>
      <c r="F145" s="199">
        <f>SUM(B145:E145)</f>
        <v>563</v>
      </c>
      <c r="G145" s="24">
        <f>SUM(F145-G154)/G154</f>
        <v>-0.14176829268292682</v>
      </c>
      <c r="H145" s="32"/>
      <c r="I145" s="113"/>
    </row>
    <row r="146" spans="1:9" x14ac:dyDescent="0.3">
      <c r="A146" s="187" t="s">
        <v>0</v>
      </c>
      <c r="B146" s="200"/>
      <c r="C146" s="200">
        <f>SUM(C145-C154)/C154</f>
        <v>0.60137457044673537</v>
      </c>
      <c r="D146" s="200">
        <v>0</v>
      </c>
      <c r="E146" s="200">
        <f>SUM(E145-E154)/E154</f>
        <v>4.6470588235294121</v>
      </c>
      <c r="F146" s="200">
        <f>SUM(F145-F154)/G154</f>
        <v>-0.41310975609756095</v>
      </c>
      <c r="G146" s="201"/>
      <c r="H146" s="116"/>
      <c r="I146" s="116"/>
    </row>
    <row r="147" spans="1:9" s="3" customFormat="1" x14ac:dyDescent="0.3">
      <c r="A147" s="201"/>
      <c r="B147" s="201"/>
      <c r="C147" s="201"/>
      <c r="D147" s="201"/>
      <c r="E147" s="201"/>
      <c r="F147" s="203"/>
      <c r="G147" s="201"/>
      <c r="H147" s="117"/>
      <c r="I147" s="117"/>
    </row>
    <row r="148" spans="1:9" s="3" customFormat="1" x14ac:dyDescent="0.3">
      <c r="A148" s="189" t="s">
        <v>249</v>
      </c>
      <c r="B148" s="206"/>
      <c r="C148" s="206"/>
      <c r="D148" s="206"/>
      <c r="E148" s="206"/>
      <c r="F148" s="188"/>
      <c r="G148" s="188"/>
      <c r="H148" s="117"/>
      <c r="I148" s="117"/>
    </row>
    <row r="149" spans="1:9" x14ac:dyDescent="0.3">
      <c r="A149" s="190"/>
      <c r="B149" s="191" t="s">
        <v>50</v>
      </c>
      <c r="C149" s="192" t="s">
        <v>134</v>
      </c>
      <c r="D149" s="191" t="s">
        <v>34</v>
      </c>
      <c r="E149" s="191" t="s">
        <v>31</v>
      </c>
      <c r="F149" s="193" t="s">
        <v>35</v>
      </c>
      <c r="G149" s="191" t="s">
        <v>51</v>
      </c>
      <c r="H149" s="115"/>
      <c r="I149" s="115"/>
    </row>
    <row r="150" spans="1:9" x14ac:dyDescent="0.3">
      <c r="A150" s="194" t="s">
        <v>52</v>
      </c>
      <c r="B150" s="195">
        <v>2</v>
      </c>
      <c r="C150" s="195">
        <v>2</v>
      </c>
      <c r="D150" s="195">
        <v>2</v>
      </c>
      <c r="E150" s="195">
        <v>0</v>
      </c>
      <c r="F150" s="195">
        <f t="shared" ref="F150:F152" si="42">SUM(B150:E150)</f>
        <v>6</v>
      </c>
      <c r="G150" s="183">
        <f t="shared" ref="G150:G153" si="43">SUM(C150:E150)</f>
        <v>4</v>
      </c>
      <c r="H150" s="32"/>
      <c r="I150" s="113"/>
    </row>
    <row r="151" spans="1:9" x14ac:dyDescent="0.3">
      <c r="A151" s="194" t="s">
        <v>38</v>
      </c>
      <c r="B151" s="195">
        <v>14</v>
      </c>
      <c r="C151" s="195">
        <v>9</v>
      </c>
      <c r="D151" s="195">
        <v>17</v>
      </c>
      <c r="E151" s="195">
        <v>2</v>
      </c>
      <c r="F151" s="195">
        <f t="shared" si="42"/>
        <v>42</v>
      </c>
      <c r="G151" s="183">
        <f t="shared" si="43"/>
        <v>28</v>
      </c>
      <c r="H151" s="32"/>
      <c r="I151" s="113"/>
    </row>
    <row r="152" spans="1:9" s="44" customFormat="1" x14ac:dyDescent="0.3">
      <c r="A152" s="194" t="s">
        <v>40</v>
      </c>
      <c r="B152" s="195">
        <v>27</v>
      </c>
      <c r="C152" s="195">
        <v>0</v>
      </c>
      <c r="D152" s="195">
        <v>27</v>
      </c>
      <c r="E152" s="195">
        <v>0</v>
      </c>
      <c r="F152" s="195">
        <f t="shared" si="42"/>
        <v>54</v>
      </c>
      <c r="G152" s="183">
        <f t="shared" si="43"/>
        <v>27</v>
      </c>
      <c r="H152" s="32"/>
      <c r="I152" s="113"/>
    </row>
    <row r="153" spans="1:9" x14ac:dyDescent="0.3">
      <c r="A153" s="194" t="s">
        <v>41</v>
      </c>
      <c r="B153" s="195">
        <v>135</v>
      </c>
      <c r="C153" s="195">
        <v>280</v>
      </c>
      <c r="D153" s="195">
        <v>302</v>
      </c>
      <c r="E153" s="195">
        <v>15</v>
      </c>
      <c r="F153" s="195">
        <f>SUM(B153:E153)</f>
        <v>732</v>
      </c>
      <c r="G153" s="183">
        <f t="shared" si="43"/>
        <v>597</v>
      </c>
      <c r="H153" s="32"/>
      <c r="I153" s="113"/>
    </row>
    <row r="154" spans="1:9" x14ac:dyDescent="0.3">
      <c r="A154" s="187" t="s">
        <v>24</v>
      </c>
      <c r="B154" s="207">
        <f>SUM(B150:B153)</f>
        <v>178</v>
      </c>
      <c r="C154" s="208">
        <f>SUM(C150:C153)</f>
        <v>291</v>
      </c>
      <c r="D154" s="207">
        <f>SUM(D150:D153)</f>
        <v>348</v>
      </c>
      <c r="E154" s="207">
        <f>SUM(E150:E153)</f>
        <v>17</v>
      </c>
      <c r="F154" s="207">
        <f>SUM(B154:E154)</f>
        <v>834</v>
      </c>
      <c r="G154" s="199">
        <f>SUM(C154:E154)</f>
        <v>656</v>
      </c>
      <c r="H154" s="32"/>
      <c r="I154" s="113"/>
    </row>
    <row r="155" spans="1:9" x14ac:dyDescent="0.3">
      <c r="A155" s="209"/>
      <c r="B155" s="203"/>
      <c r="C155" s="203"/>
      <c r="D155" s="203"/>
      <c r="E155" s="203"/>
      <c r="F155" s="203"/>
      <c r="G155" s="201"/>
      <c r="H155" s="32"/>
      <c r="I155" s="113"/>
    </row>
    <row r="156" spans="1:9" x14ac:dyDescent="0.3">
      <c r="H156" s="32"/>
      <c r="I156" s="113"/>
    </row>
    <row r="157" spans="1:9" s="3" customFormat="1" x14ac:dyDescent="0.3">
      <c r="A157" s="89"/>
      <c r="B157" s="89"/>
      <c r="C157" s="89"/>
      <c r="D157" s="89"/>
      <c r="E157" s="89"/>
      <c r="F157" s="90"/>
      <c r="G157" s="65"/>
      <c r="H157" s="1"/>
      <c r="I157" s="1"/>
    </row>
    <row r="158" spans="1:9" x14ac:dyDescent="0.3">
      <c r="A158" s="17"/>
      <c r="F158" s="41"/>
    </row>
    <row r="159" spans="1:9" x14ac:dyDescent="0.3">
      <c r="A159" s="17"/>
      <c r="F159" s="41"/>
    </row>
    <row r="160" spans="1:9" x14ac:dyDescent="0.3">
      <c r="A160" s="17"/>
      <c r="F160" s="41"/>
    </row>
    <row r="161" spans="1:7" x14ac:dyDescent="0.3">
      <c r="A161" s="17"/>
      <c r="F161" s="41"/>
    </row>
    <row r="162" spans="1:7" x14ac:dyDescent="0.3">
      <c r="A162" s="17"/>
      <c r="F162" s="41"/>
    </row>
    <row r="163" spans="1:7" x14ac:dyDescent="0.3">
      <c r="A163" s="17"/>
      <c r="F163" s="41"/>
    </row>
    <row r="164" spans="1:7" x14ac:dyDescent="0.3">
      <c r="A164" s="91"/>
      <c r="B164" s="15"/>
      <c r="C164" s="15"/>
      <c r="D164" s="15"/>
      <c r="E164" s="15"/>
      <c r="F164" s="15"/>
      <c r="G164" s="15"/>
    </row>
  </sheetData>
  <mergeCells count="6">
    <mergeCell ref="A139:E139"/>
    <mergeCell ref="A129:E129"/>
    <mergeCell ref="A148:E148"/>
    <mergeCell ref="A99:E99"/>
    <mergeCell ref="A109:E109"/>
    <mergeCell ref="A119:E1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93"/>
  <sheetViews>
    <sheetView topLeftCell="A8" zoomScale="90" zoomScaleNormal="90" workbookViewId="0">
      <selection activeCell="M29" sqref="M29"/>
    </sheetView>
  </sheetViews>
  <sheetFormatPr defaultRowHeight="14" x14ac:dyDescent="0.3"/>
  <cols>
    <col min="1" max="1" width="18.36328125" style="46" customWidth="1"/>
    <col min="2" max="2" width="10.90625" style="1" bestFit="1" customWidth="1"/>
    <col min="3" max="3" width="9.26953125" style="1" bestFit="1" customWidth="1"/>
    <col min="4" max="4" width="10.1796875" style="1" customWidth="1"/>
    <col min="5" max="5" width="7.90625" style="1" customWidth="1"/>
    <col min="6" max="6" width="8.90625" style="1" customWidth="1"/>
    <col min="7" max="7" width="10.90625" style="1" bestFit="1" customWidth="1"/>
    <col min="8" max="8" width="12.1796875" style="1" customWidth="1"/>
    <col min="9" max="9" width="7.90625" style="1" bestFit="1" customWidth="1"/>
    <col min="10" max="10" width="8.36328125" style="1" customWidth="1"/>
    <col min="11" max="13" width="8.90625" style="1" bestFit="1" customWidth="1"/>
    <col min="14" max="15" width="8.7265625" style="41" customWidth="1"/>
    <col min="16" max="16" width="8.54296875" style="1" customWidth="1"/>
    <col min="17" max="17" width="9.1796875" style="1" bestFit="1" customWidth="1"/>
    <col min="18" max="16384" width="8.7265625" style="1"/>
  </cols>
  <sheetData>
    <row r="1" spans="1:16" ht="15.5" x14ac:dyDescent="0.35">
      <c r="A1" s="225" t="s">
        <v>251</v>
      </c>
      <c r="B1" s="225"/>
      <c r="C1" s="225"/>
      <c r="D1" s="225"/>
    </row>
    <row r="3" spans="1:16" x14ac:dyDescent="0.3">
      <c r="A3" s="41" t="s">
        <v>54</v>
      </c>
    </row>
    <row r="4" spans="1:16" ht="28" x14ac:dyDescent="0.3">
      <c r="A4" s="2"/>
      <c r="B4" s="43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180" t="s">
        <v>236</v>
      </c>
      <c r="O4" s="42" t="s">
        <v>208</v>
      </c>
      <c r="P4" s="42" t="s">
        <v>132</v>
      </c>
    </row>
    <row r="5" spans="1:16" x14ac:dyDescent="0.3">
      <c r="A5" s="2" t="s">
        <v>67</v>
      </c>
      <c r="B5" s="2">
        <v>57</v>
      </c>
      <c r="C5" s="2">
        <v>98</v>
      </c>
      <c r="D5" s="2">
        <v>133</v>
      </c>
      <c r="E5" s="2">
        <v>132</v>
      </c>
      <c r="F5" s="2">
        <v>105</v>
      </c>
      <c r="G5" s="2">
        <v>23</v>
      </c>
      <c r="H5" s="2">
        <v>154</v>
      </c>
      <c r="I5" s="2">
        <v>116</v>
      </c>
      <c r="J5" s="2">
        <v>160</v>
      </c>
      <c r="K5" s="2">
        <v>68</v>
      </c>
      <c r="L5" s="2">
        <v>69</v>
      </c>
      <c r="M5" s="2">
        <v>62</v>
      </c>
      <c r="N5" s="5">
        <f>SUM(B5:M5)</f>
        <v>1177</v>
      </c>
      <c r="O5" s="2">
        <v>1231</v>
      </c>
      <c r="P5" s="16">
        <f>(N5-O5)/O5</f>
        <v>-4.3866774979691305E-2</v>
      </c>
    </row>
    <row r="6" spans="1:16" x14ac:dyDescent="0.3">
      <c r="A6" s="2" t="s">
        <v>68</v>
      </c>
      <c r="B6" s="2">
        <v>5</v>
      </c>
      <c r="C6" s="2">
        <v>8</v>
      </c>
      <c r="D6" s="2">
        <v>10</v>
      </c>
      <c r="E6" s="2">
        <v>10</v>
      </c>
      <c r="F6" s="2">
        <v>5</v>
      </c>
      <c r="G6" s="2">
        <v>2</v>
      </c>
      <c r="H6" s="2">
        <v>13</v>
      </c>
      <c r="I6" s="2">
        <v>14</v>
      </c>
      <c r="J6" s="2">
        <v>9</v>
      </c>
      <c r="K6" s="2">
        <v>5</v>
      </c>
      <c r="L6" s="2">
        <v>3</v>
      </c>
      <c r="M6" s="2">
        <v>5</v>
      </c>
      <c r="N6" s="5">
        <f t="shared" ref="N6:N9" si="0">SUM(B6:M6)</f>
        <v>89</v>
      </c>
      <c r="O6" s="2">
        <v>112</v>
      </c>
      <c r="P6" s="16">
        <f t="shared" ref="P6:P10" si="1">(N6-O6)/O6</f>
        <v>-0.20535714285714285</v>
      </c>
    </row>
    <row r="7" spans="1:16" x14ac:dyDescent="0.3">
      <c r="A7" s="2" t="s">
        <v>69</v>
      </c>
      <c r="B7" s="2">
        <v>41</v>
      </c>
      <c r="C7" s="2">
        <v>87</v>
      </c>
      <c r="D7" s="2">
        <v>102</v>
      </c>
      <c r="E7" s="2">
        <v>143</v>
      </c>
      <c r="F7" s="2">
        <v>108</v>
      </c>
      <c r="G7" s="2">
        <v>24</v>
      </c>
      <c r="H7" s="2">
        <v>117</v>
      </c>
      <c r="I7" s="2">
        <v>107</v>
      </c>
      <c r="J7" s="2">
        <v>146</v>
      </c>
      <c r="K7" s="2">
        <v>84</v>
      </c>
      <c r="L7" s="2">
        <v>55</v>
      </c>
      <c r="M7" s="2">
        <v>68</v>
      </c>
      <c r="N7" s="5">
        <f t="shared" si="0"/>
        <v>1082</v>
      </c>
      <c r="O7" s="2">
        <v>1119</v>
      </c>
      <c r="P7" s="16">
        <f t="shared" si="1"/>
        <v>-3.3065236818588022E-2</v>
      </c>
    </row>
    <row r="8" spans="1:16" x14ac:dyDescent="0.3">
      <c r="A8" s="2" t="s">
        <v>70</v>
      </c>
      <c r="B8" s="2">
        <v>29</v>
      </c>
      <c r="C8" s="2">
        <v>74</v>
      </c>
      <c r="D8" s="2">
        <v>76</v>
      </c>
      <c r="E8" s="2">
        <v>119</v>
      </c>
      <c r="F8" s="2">
        <v>77</v>
      </c>
      <c r="G8" s="2">
        <v>20</v>
      </c>
      <c r="H8" s="2">
        <v>104</v>
      </c>
      <c r="I8" s="2">
        <v>60</v>
      </c>
      <c r="J8" s="2">
        <v>103</v>
      </c>
      <c r="K8" s="2">
        <v>60</v>
      </c>
      <c r="L8" s="2">
        <v>38</v>
      </c>
      <c r="M8" s="2">
        <v>51</v>
      </c>
      <c r="N8" s="5">
        <f t="shared" si="0"/>
        <v>811</v>
      </c>
      <c r="O8" s="2">
        <v>840</v>
      </c>
      <c r="P8" s="16">
        <f t="shared" si="1"/>
        <v>-3.4523809523809526E-2</v>
      </c>
    </row>
    <row r="9" spans="1:16" x14ac:dyDescent="0.3">
      <c r="A9" s="2" t="s">
        <v>71</v>
      </c>
      <c r="B9" s="2">
        <v>12</v>
      </c>
      <c r="C9" s="2">
        <v>13</v>
      </c>
      <c r="D9" s="2">
        <v>26</v>
      </c>
      <c r="E9" s="2">
        <v>24</v>
      </c>
      <c r="F9" s="2">
        <v>31</v>
      </c>
      <c r="G9" s="2">
        <v>4</v>
      </c>
      <c r="H9" s="2">
        <v>13</v>
      </c>
      <c r="I9" s="2">
        <v>47</v>
      </c>
      <c r="J9" s="2">
        <v>43</v>
      </c>
      <c r="K9" s="2">
        <v>24</v>
      </c>
      <c r="L9" s="2">
        <v>17</v>
      </c>
      <c r="M9" s="2">
        <v>17</v>
      </c>
      <c r="N9" s="5">
        <f t="shared" si="0"/>
        <v>271</v>
      </c>
      <c r="O9" s="2">
        <v>277</v>
      </c>
      <c r="P9" s="16">
        <f t="shared" si="1"/>
        <v>-2.1660649819494584E-2</v>
      </c>
    </row>
    <row r="10" spans="1:16" x14ac:dyDescent="0.3">
      <c r="A10" s="2" t="s">
        <v>72</v>
      </c>
      <c r="B10" s="2">
        <f>SUM(B8:B9)</f>
        <v>41</v>
      </c>
      <c r="C10" s="2">
        <f t="shared" ref="C10:M10" si="2">SUM(C8:C9)</f>
        <v>87</v>
      </c>
      <c r="D10" s="2">
        <f t="shared" si="2"/>
        <v>102</v>
      </c>
      <c r="E10" s="2">
        <f t="shared" si="2"/>
        <v>143</v>
      </c>
      <c r="F10" s="2">
        <f t="shared" si="2"/>
        <v>108</v>
      </c>
      <c r="G10" s="2">
        <f t="shared" si="2"/>
        <v>24</v>
      </c>
      <c r="H10" s="2">
        <f t="shared" si="2"/>
        <v>117</v>
      </c>
      <c r="I10" s="2">
        <f t="shared" si="2"/>
        <v>107</v>
      </c>
      <c r="J10" s="2">
        <f t="shared" si="2"/>
        <v>146</v>
      </c>
      <c r="K10" s="2">
        <f t="shared" si="2"/>
        <v>84</v>
      </c>
      <c r="L10" s="2">
        <f t="shared" si="2"/>
        <v>55</v>
      </c>
      <c r="M10" s="2">
        <f t="shared" si="2"/>
        <v>68</v>
      </c>
      <c r="N10" s="5">
        <f>SUM(N8:N9)</f>
        <v>1082</v>
      </c>
      <c r="O10" s="2">
        <v>1117</v>
      </c>
      <c r="P10" s="16">
        <f t="shared" si="1"/>
        <v>-3.133393017009848E-2</v>
      </c>
    </row>
    <row r="11" spans="1:16" x14ac:dyDescent="0.3">
      <c r="M11" s="41"/>
      <c r="N11" s="182"/>
      <c r="O11" s="1"/>
    </row>
    <row r="12" spans="1:16" x14ac:dyDescent="0.3">
      <c r="A12" s="40"/>
      <c r="M12" s="41"/>
      <c r="N12" s="182"/>
      <c r="O12" s="1"/>
    </row>
    <row r="13" spans="1:16" ht="28" x14ac:dyDescent="0.3">
      <c r="A13" s="2"/>
      <c r="B13" s="43" t="s">
        <v>55</v>
      </c>
      <c r="C13" s="43" t="s">
        <v>56</v>
      </c>
      <c r="D13" s="43" t="s">
        <v>57</v>
      </c>
      <c r="E13" s="43" t="s">
        <v>58</v>
      </c>
      <c r="F13" s="43" t="s">
        <v>59</v>
      </c>
      <c r="G13" s="43" t="s">
        <v>60</v>
      </c>
      <c r="H13" s="43" t="s">
        <v>61</v>
      </c>
      <c r="I13" s="43" t="s">
        <v>62</v>
      </c>
      <c r="J13" s="43" t="s">
        <v>63</v>
      </c>
      <c r="K13" s="43" t="s">
        <v>64</v>
      </c>
      <c r="L13" s="43" t="s">
        <v>65</v>
      </c>
      <c r="M13" s="43" t="s">
        <v>66</v>
      </c>
      <c r="N13" s="180" t="s">
        <v>237</v>
      </c>
      <c r="O13" s="42" t="s">
        <v>208</v>
      </c>
      <c r="P13" s="42" t="s">
        <v>132</v>
      </c>
    </row>
    <row r="14" spans="1:16" x14ac:dyDescent="0.3">
      <c r="A14" s="2" t="s">
        <v>35</v>
      </c>
      <c r="B14" s="2">
        <v>47</v>
      </c>
      <c r="C14" s="2">
        <v>50</v>
      </c>
      <c r="D14" s="2">
        <v>57</v>
      </c>
      <c r="E14" s="2">
        <v>60</v>
      </c>
      <c r="F14" s="2">
        <v>61</v>
      </c>
      <c r="G14" s="2">
        <v>41</v>
      </c>
      <c r="H14" s="2">
        <v>56</v>
      </c>
      <c r="I14" s="2">
        <v>72</v>
      </c>
      <c r="J14" s="2">
        <v>100</v>
      </c>
      <c r="K14" s="2">
        <v>57</v>
      </c>
      <c r="L14" s="2">
        <v>72</v>
      </c>
      <c r="M14" s="2">
        <v>77</v>
      </c>
      <c r="N14" s="5">
        <f>SUM(B14:M14)</f>
        <v>750</v>
      </c>
      <c r="O14" s="2">
        <v>1531</v>
      </c>
      <c r="P14" s="16">
        <f>(N14-O14)/O14</f>
        <v>-0.51012410189418678</v>
      </c>
    </row>
    <row r="15" spans="1:16" x14ac:dyDescent="0.3">
      <c r="A15" s="2" t="s">
        <v>76</v>
      </c>
      <c r="B15" s="2">
        <v>7</v>
      </c>
      <c r="C15" s="2">
        <v>12</v>
      </c>
      <c r="D15" s="2">
        <v>18</v>
      </c>
      <c r="E15" s="2">
        <v>17</v>
      </c>
      <c r="F15" s="2">
        <v>12</v>
      </c>
      <c r="G15" s="2">
        <v>7</v>
      </c>
      <c r="H15" s="2">
        <v>8</v>
      </c>
      <c r="I15" s="2">
        <v>16</v>
      </c>
      <c r="J15" s="2">
        <v>25</v>
      </c>
      <c r="K15" s="2">
        <v>15</v>
      </c>
      <c r="L15" s="2">
        <v>11</v>
      </c>
      <c r="M15" s="2">
        <v>17</v>
      </c>
      <c r="N15" s="5">
        <f>SUM(B15:M15)</f>
        <v>165</v>
      </c>
      <c r="O15" s="2">
        <v>325</v>
      </c>
      <c r="P15" s="16">
        <f t="shared" ref="P15:P16" si="3">(N15-O15)/O15</f>
        <v>-0.49230769230769234</v>
      </c>
    </row>
    <row r="16" spans="1:16" x14ac:dyDescent="0.3">
      <c r="A16" s="2" t="s">
        <v>77</v>
      </c>
      <c r="B16" s="2">
        <v>40</v>
      </c>
      <c r="C16" s="2">
        <v>38</v>
      </c>
      <c r="D16" s="2">
        <v>39</v>
      </c>
      <c r="E16" s="2">
        <v>43</v>
      </c>
      <c r="F16" s="2">
        <v>49</v>
      </c>
      <c r="G16" s="2">
        <v>34</v>
      </c>
      <c r="H16" s="2">
        <v>48</v>
      </c>
      <c r="I16" s="2">
        <v>56</v>
      </c>
      <c r="J16" s="2">
        <v>75</v>
      </c>
      <c r="K16" s="2">
        <v>42</v>
      </c>
      <c r="L16" s="2">
        <v>61</v>
      </c>
      <c r="M16" s="2">
        <v>60</v>
      </c>
      <c r="N16" s="5">
        <f>SUM(N14:N15)</f>
        <v>915</v>
      </c>
      <c r="O16" s="2">
        <v>1206</v>
      </c>
      <c r="P16" s="16">
        <f t="shared" si="3"/>
        <v>-0.24129353233830847</v>
      </c>
    </row>
    <row r="19" spans="1:14" x14ac:dyDescent="0.3">
      <c r="A19" s="349" t="s">
        <v>257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</row>
    <row r="20" spans="1:14" x14ac:dyDescent="0.3">
      <c r="A20" s="350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</row>
    <row r="21" spans="1:14" x14ac:dyDescent="0.3">
      <c r="A21" s="350" t="s">
        <v>78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</row>
    <row r="22" spans="1:14" x14ac:dyDescent="0.3">
      <c r="A22" s="351"/>
      <c r="B22" s="351" t="s">
        <v>55</v>
      </c>
      <c r="C22" s="351" t="s">
        <v>56</v>
      </c>
      <c r="D22" s="351" t="s">
        <v>57</v>
      </c>
      <c r="E22" s="351" t="s">
        <v>58</v>
      </c>
      <c r="F22" s="351" t="s">
        <v>59</v>
      </c>
      <c r="G22" s="351" t="s">
        <v>60</v>
      </c>
      <c r="H22" s="351" t="s">
        <v>61</v>
      </c>
      <c r="I22" s="351" t="s">
        <v>62</v>
      </c>
      <c r="J22" s="351" t="s">
        <v>63</v>
      </c>
      <c r="K22" s="351" t="s">
        <v>64</v>
      </c>
      <c r="L22" s="351" t="s">
        <v>65</v>
      </c>
      <c r="M22" s="351" t="s">
        <v>66</v>
      </c>
      <c r="N22" s="351" t="s">
        <v>24</v>
      </c>
    </row>
    <row r="23" spans="1:14" x14ac:dyDescent="0.3">
      <c r="A23" s="351" t="s">
        <v>79</v>
      </c>
      <c r="B23" s="351">
        <v>341</v>
      </c>
      <c r="C23" s="351">
        <v>279</v>
      </c>
      <c r="D23" s="351">
        <v>401</v>
      </c>
      <c r="E23" s="351">
        <v>429</v>
      </c>
      <c r="F23" s="351">
        <v>435</v>
      </c>
      <c r="G23" s="351">
        <v>265</v>
      </c>
      <c r="H23" s="351">
        <v>347</v>
      </c>
      <c r="I23" s="351">
        <v>507</v>
      </c>
      <c r="J23" s="351">
        <v>614</v>
      </c>
      <c r="K23" s="351">
        <v>457</v>
      </c>
      <c r="L23" s="351">
        <v>444</v>
      </c>
      <c r="M23" s="351">
        <v>394</v>
      </c>
      <c r="N23" s="353">
        <v>4581</v>
      </c>
    </row>
    <row r="24" spans="1:14" x14ac:dyDescent="0.3">
      <c r="A24" s="351" t="s">
        <v>68</v>
      </c>
      <c r="B24" s="351">
        <v>2</v>
      </c>
      <c r="C24" s="351">
        <v>2</v>
      </c>
      <c r="D24" s="351">
        <v>1</v>
      </c>
      <c r="E24" s="351">
        <v>0</v>
      </c>
      <c r="F24" s="351">
        <v>2</v>
      </c>
      <c r="G24" s="351">
        <v>0</v>
      </c>
      <c r="H24" s="351">
        <v>2</v>
      </c>
      <c r="I24" s="351">
        <v>3</v>
      </c>
      <c r="J24" s="351">
        <v>2</v>
      </c>
      <c r="K24" s="351">
        <v>4</v>
      </c>
      <c r="L24" s="351">
        <v>1</v>
      </c>
      <c r="M24" s="351">
        <v>0</v>
      </c>
      <c r="N24" s="353">
        <v>24</v>
      </c>
    </row>
    <row r="25" spans="1:14" x14ac:dyDescent="0.3">
      <c r="A25" s="351" t="s">
        <v>69</v>
      </c>
      <c r="B25" s="351">
        <v>339</v>
      </c>
      <c r="C25" s="351">
        <v>277</v>
      </c>
      <c r="D25" s="351">
        <v>100</v>
      </c>
      <c r="E25" s="351">
        <v>429</v>
      </c>
      <c r="F25" s="351">
        <v>433</v>
      </c>
      <c r="G25" s="351">
        <v>265</v>
      </c>
      <c r="H25" s="351">
        <v>345</v>
      </c>
      <c r="I25" s="351">
        <v>504</v>
      </c>
      <c r="J25" s="351">
        <v>612</v>
      </c>
      <c r="K25" s="351">
        <v>453</v>
      </c>
      <c r="L25" s="351">
        <v>443</v>
      </c>
      <c r="M25" s="351">
        <v>77</v>
      </c>
      <c r="N25" s="353">
        <v>4257</v>
      </c>
    </row>
    <row r="26" spans="1:14" x14ac:dyDescent="0.3">
      <c r="A26" s="351" t="s">
        <v>70</v>
      </c>
      <c r="B26" s="352">
        <v>40</v>
      </c>
      <c r="C26" s="352">
        <v>38</v>
      </c>
      <c r="D26" s="352">
        <v>39</v>
      </c>
      <c r="E26" s="352">
        <v>43</v>
      </c>
      <c r="F26" s="352">
        <v>49</v>
      </c>
      <c r="G26" s="352">
        <v>34</v>
      </c>
      <c r="H26" s="352">
        <v>48</v>
      </c>
      <c r="I26" s="352">
        <v>56</v>
      </c>
      <c r="J26" s="352">
        <v>75</v>
      </c>
      <c r="K26" s="352">
        <v>42</v>
      </c>
      <c r="L26" s="352">
        <v>61</v>
      </c>
      <c r="M26" s="352">
        <v>60</v>
      </c>
      <c r="N26" s="354">
        <v>576</v>
      </c>
    </row>
    <row r="27" spans="1:14" x14ac:dyDescent="0.3">
      <c r="A27" s="351" t="s">
        <v>71</v>
      </c>
      <c r="B27" s="352">
        <v>7</v>
      </c>
      <c r="C27" s="352">
        <v>12</v>
      </c>
      <c r="D27" s="352">
        <v>18</v>
      </c>
      <c r="E27" s="352">
        <v>17</v>
      </c>
      <c r="F27" s="352">
        <v>12</v>
      </c>
      <c r="G27" s="352">
        <v>7</v>
      </c>
      <c r="H27" s="352">
        <v>8</v>
      </c>
      <c r="I27" s="352">
        <v>16</v>
      </c>
      <c r="J27" s="352">
        <v>25</v>
      </c>
      <c r="K27" s="352">
        <v>15</v>
      </c>
      <c r="L27" s="352">
        <v>11</v>
      </c>
      <c r="M27" s="352">
        <v>17</v>
      </c>
      <c r="N27" s="354">
        <v>165</v>
      </c>
    </row>
    <row r="28" spans="1:14" x14ac:dyDescent="0.3">
      <c r="A28" s="351" t="s">
        <v>72</v>
      </c>
      <c r="B28" s="352">
        <v>47</v>
      </c>
      <c r="C28" s="352">
        <v>50</v>
      </c>
      <c r="D28" s="352">
        <v>57</v>
      </c>
      <c r="E28" s="352">
        <v>60</v>
      </c>
      <c r="F28" s="352">
        <v>61</v>
      </c>
      <c r="G28" s="352">
        <v>41</v>
      </c>
      <c r="H28" s="352">
        <v>56</v>
      </c>
      <c r="I28" s="352">
        <v>72</v>
      </c>
      <c r="J28" s="352">
        <v>100</v>
      </c>
      <c r="K28" s="352">
        <v>57</v>
      </c>
      <c r="L28" s="352">
        <v>72</v>
      </c>
      <c r="M28" s="352">
        <v>77</v>
      </c>
      <c r="N28" s="354">
        <v>741</v>
      </c>
    </row>
    <row r="29" spans="1:14" x14ac:dyDescent="0.3">
      <c r="A29" s="351" t="s">
        <v>73</v>
      </c>
      <c r="B29" s="351">
        <v>295</v>
      </c>
      <c r="C29" s="351">
        <v>225</v>
      </c>
      <c r="D29" s="351">
        <v>345</v>
      </c>
      <c r="E29" s="351">
        <v>369</v>
      </c>
      <c r="F29" s="351">
        <v>376</v>
      </c>
      <c r="G29" s="351">
        <v>225</v>
      </c>
      <c r="H29" s="351">
        <v>270</v>
      </c>
      <c r="I29" s="351">
        <v>448</v>
      </c>
      <c r="J29" s="351">
        <v>512</v>
      </c>
      <c r="K29" s="351">
        <v>396</v>
      </c>
      <c r="L29" s="351">
        <v>373</v>
      </c>
      <c r="M29" s="351">
        <v>309</v>
      </c>
      <c r="N29" s="353">
        <v>3834</v>
      </c>
    </row>
    <row r="30" spans="1:14" x14ac:dyDescent="0.3">
      <c r="A30" s="351" t="s">
        <v>74</v>
      </c>
      <c r="B30" s="351">
        <v>13.74</v>
      </c>
      <c r="C30" s="351">
        <v>18.18</v>
      </c>
      <c r="D30" s="351">
        <v>14.18</v>
      </c>
      <c r="E30" s="351">
        <v>13.99</v>
      </c>
      <c r="F30" s="351">
        <v>13.96</v>
      </c>
      <c r="G30" s="351">
        <v>15.41</v>
      </c>
      <c r="H30" s="351">
        <v>17.18</v>
      </c>
      <c r="I30" s="351">
        <v>13.85</v>
      </c>
      <c r="J30" s="351">
        <v>16.34</v>
      </c>
      <c r="K30" s="351">
        <v>12.58</v>
      </c>
      <c r="L30" s="351">
        <v>16.18</v>
      </c>
      <c r="M30" s="351"/>
      <c r="N30" s="353">
        <v>16.2</v>
      </c>
    </row>
    <row r="31" spans="1:14" x14ac:dyDescent="0.3">
      <c r="A31" s="351" t="s">
        <v>75</v>
      </c>
      <c r="B31" s="351">
        <v>86.26</v>
      </c>
      <c r="C31" s="351">
        <v>81.819999999999993</v>
      </c>
      <c r="D31" s="351">
        <v>85.82</v>
      </c>
      <c r="E31" s="351">
        <v>86.01</v>
      </c>
      <c r="F31" s="351">
        <v>86.04</v>
      </c>
      <c r="G31" s="351">
        <v>84.59</v>
      </c>
      <c r="H31" s="351">
        <v>82.82</v>
      </c>
      <c r="I31" s="351">
        <v>86.15</v>
      </c>
      <c r="J31" s="351">
        <v>83.66</v>
      </c>
      <c r="K31" s="351">
        <v>87.42</v>
      </c>
      <c r="L31" s="351">
        <v>83.82</v>
      </c>
      <c r="M31" s="351"/>
      <c r="N31" s="353">
        <v>83.8</v>
      </c>
    </row>
    <row r="32" spans="1:14" x14ac:dyDescent="0.3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</row>
    <row r="33" spans="1:17" ht="14.5" x14ac:dyDescent="0.35">
      <c r="A33" s="348"/>
      <c r="B33" s="348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</row>
    <row r="34" spans="1:17" x14ac:dyDescent="0.3">
      <c r="A34" s="93" t="s">
        <v>235</v>
      </c>
      <c r="B34" s="93"/>
      <c r="C34" s="93"/>
      <c r="D34" s="93"/>
    </row>
    <row r="36" spans="1:17" s="41" customFormat="1" x14ac:dyDescent="0.3">
      <c r="A36" s="41" t="s">
        <v>54</v>
      </c>
    </row>
    <row r="37" spans="1:17" s="44" customFormat="1" ht="28" x14ac:dyDescent="0.3">
      <c r="A37" s="2"/>
      <c r="B37" s="43" t="s">
        <v>55</v>
      </c>
      <c r="C37" s="43" t="s">
        <v>56</v>
      </c>
      <c r="D37" s="43" t="s">
        <v>57</v>
      </c>
      <c r="E37" s="43" t="s">
        <v>58</v>
      </c>
      <c r="F37" s="43" t="s">
        <v>59</v>
      </c>
      <c r="G37" s="43" t="s">
        <v>60</v>
      </c>
      <c r="H37" s="43" t="s">
        <v>61</v>
      </c>
      <c r="I37" s="43" t="s">
        <v>62</v>
      </c>
      <c r="J37" s="43" t="s">
        <v>63</v>
      </c>
      <c r="K37" s="43" t="s">
        <v>64</v>
      </c>
      <c r="L37" s="43" t="s">
        <v>65</v>
      </c>
      <c r="M37" s="43" t="s">
        <v>66</v>
      </c>
      <c r="N37" s="80" t="s">
        <v>207</v>
      </c>
      <c r="O37" s="42" t="s">
        <v>184</v>
      </c>
      <c r="P37" s="42" t="s">
        <v>132</v>
      </c>
    </row>
    <row r="38" spans="1:17" x14ac:dyDescent="0.3">
      <c r="A38" s="2" t="s">
        <v>67</v>
      </c>
      <c r="B38" s="2">
        <v>89</v>
      </c>
      <c r="C38" s="2">
        <v>127</v>
      </c>
      <c r="D38" s="2">
        <v>121</v>
      </c>
      <c r="E38" s="2">
        <v>99</v>
      </c>
      <c r="F38" s="2">
        <v>134</v>
      </c>
      <c r="G38" s="2">
        <v>37</v>
      </c>
      <c r="H38" s="2">
        <v>138</v>
      </c>
      <c r="I38" s="2">
        <v>88</v>
      </c>
      <c r="J38" s="2">
        <v>142</v>
      </c>
      <c r="K38" s="2">
        <v>93</v>
      </c>
      <c r="L38" s="2">
        <v>79</v>
      </c>
      <c r="M38" s="2">
        <v>84</v>
      </c>
      <c r="N38" s="38">
        <f>SUM(B38:M38)</f>
        <v>1231</v>
      </c>
      <c r="O38" s="2">
        <v>1128</v>
      </c>
      <c r="P38" s="16">
        <f>SUM(N38-O38)/O38</f>
        <v>9.1312056737588659E-2</v>
      </c>
    </row>
    <row r="39" spans="1:17" x14ac:dyDescent="0.3">
      <c r="A39" s="2" t="s">
        <v>68</v>
      </c>
      <c r="B39" s="2">
        <v>6</v>
      </c>
      <c r="C39" s="2">
        <v>16</v>
      </c>
      <c r="D39" s="2">
        <v>12</v>
      </c>
      <c r="E39" s="2">
        <v>6</v>
      </c>
      <c r="F39" s="2">
        <v>12</v>
      </c>
      <c r="G39" s="2">
        <v>5</v>
      </c>
      <c r="H39" s="2">
        <v>10</v>
      </c>
      <c r="I39" s="2">
        <v>10</v>
      </c>
      <c r="J39" s="2">
        <v>11</v>
      </c>
      <c r="K39" s="2">
        <v>9</v>
      </c>
      <c r="L39" s="2">
        <v>8</v>
      </c>
      <c r="M39" s="2">
        <v>7</v>
      </c>
      <c r="N39" s="38">
        <f t="shared" ref="N39:N43" si="4">SUM(B39:M39)</f>
        <v>112</v>
      </c>
      <c r="O39" s="2">
        <v>133</v>
      </c>
      <c r="P39" s="16">
        <f>SUM(N39-O39)/O39</f>
        <v>-0.15789473684210525</v>
      </c>
    </row>
    <row r="40" spans="1:17" x14ac:dyDescent="0.3">
      <c r="A40" s="2" t="s">
        <v>69</v>
      </c>
      <c r="B40" s="2">
        <v>76</v>
      </c>
      <c r="C40" s="2">
        <v>111</v>
      </c>
      <c r="D40" s="2">
        <v>109</v>
      </c>
      <c r="E40" s="2">
        <v>93</v>
      </c>
      <c r="F40" s="2">
        <v>122</v>
      </c>
      <c r="G40" s="2">
        <v>32</v>
      </c>
      <c r="H40" s="2">
        <v>128</v>
      </c>
      <c r="I40" s="2">
        <v>78</v>
      </c>
      <c r="J40" s="2">
        <v>131</v>
      </c>
      <c r="K40" s="2">
        <v>84</v>
      </c>
      <c r="L40" s="2">
        <v>71</v>
      </c>
      <c r="M40" s="2">
        <v>77</v>
      </c>
      <c r="N40" s="38">
        <f t="shared" si="4"/>
        <v>1112</v>
      </c>
      <c r="O40" s="2">
        <v>995</v>
      </c>
      <c r="P40" s="16">
        <f t="shared" ref="P40:P43" si="5">SUM(N40-O40)/O40</f>
        <v>0.11758793969849246</v>
      </c>
    </row>
    <row r="41" spans="1:17" x14ac:dyDescent="0.3">
      <c r="A41" s="2" t="s">
        <v>70</v>
      </c>
      <c r="B41" s="2">
        <v>45</v>
      </c>
      <c r="C41" s="2">
        <v>101</v>
      </c>
      <c r="D41" s="2">
        <v>84</v>
      </c>
      <c r="E41" s="2">
        <v>59</v>
      </c>
      <c r="F41" s="2">
        <v>114</v>
      </c>
      <c r="G41" s="2">
        <v>25</v>
      </c>
      <c r="H41" s="2">
        <v>64</v>
      </c>
      <c r="I41" s="2">
        <v>67</v>
      </c>
      <c r="J41" s="2">
        <v>85</v>
      </c>
      <c r="K41" s="2">
        <v>77</v>
      </c>
      <c r="L41" s="2">
        <v>43</v>
      </c>
      <c r="M41" s="2">
        <v>76</v>
      </c>
      <c r="N41" s="38">
        <f t="shared" si="4"/>
        <v>840</v>
      </c>
      <c r="O41" s="2">
        <v>628</v>
      </c>
      <c r="P41" s="16">
        <f t="shared" si="5"/>
        <v>0.33757961783439489</v>
      </c>
    </row>
    <row r="42" spans="1:17" x14ac:dyDescent="0.3">
      <c r="A42" s="2" t="s">
        <v>71</v>
      </c>
      <c r="B42" s="2">
        <v>12</v>
      </c>
      <c r="C42" s="2">
        <v>32</v>
      </c>
      <c r="D42" s="2">
        <v>31</v>
      </c>
      <c r="E42" s="2">
        <v>19</v>
      </c>
      <c r="F42" s="2">
        <v>22</v>
      </c>
      <c r="G42" s="2">
        <v>12</v>
      </c>
      <c r="H42" s="2">
        <v>38</v>
      </c>
      <c r="I42" s="2">
        <v>26</v>
      </c>
      <c r="J42" s="2">
        <v>27</v>
      </c>
      <c r="K42" s="2">
        <v>22</v>
      </c>
      <c r="L42" s="2">
        <v>19</v>
      </c>
      <c r="M42" s="2">
        <v>17</v>
      </c>
      <c r="N42" s="38">
        <f t="shared" si="4"/>
        <v>277</v>
      </c>
      <c r="O42" s="2">
        <v>356</v>
      </c>
      <c r="P42" s="16">
        <f t="shared" si="5"/>
        <v>-0.22191011235955055</v>
      </c>
    </row>
    <row r="43" spans="1:17" x14ac:dyDescent="0.3">
      <c r="A43" s="2" t="s">
        <v>72</v>
      </c>
      <c r="B43" s="2">
        <v>57</v>
      </c>
      <c r="C43" s="2">
        <v>133</v>
      </c>
      <c r="D43" s="2">
        <v>115</v>
      </c>
      <c r="E43" s="2">
        <v>78</v>
      </c>
      <c r="F43" s="2">
        <v>136</v>
      </c>
      <c r="G43" s="2">
        <v>37</v>
      </c>
      <c r="H43" s="2">
        <v>102</v>
      </c>
      <c r="I43" s="2">
        <v>93</v>
      </c>
      <c r="J43" s="2">
        <v>112</v>
      </c>
      <c r="K43" s="2">
        <v>99</v>
      </c>
      <c r="L43" s="2">
        <v>62</v>
      </c>
      <c r="M43" s="2">
        <v>93</v>
      </c>
      <c r="N43" s="38">
        <f t="shared" si="4"/>
        <v>1117</v>
      </c>
      <c r="O43" s="2">
        <v>984</v>
      </c>
      <c r="P43" s="16">
        <f t="shared" si="5"/>
        <v>0.13516260162601626</v>
      </c>
    </row>
    <row r="44" spans="1:17" x14ac:dyDescent="0.3">
      <c r="N44" s="1"/>
      <c r="O44" s="1"/>
      <c r="Q44" s="36"/>
    </row>
    <row r="45" spans="1:17" x14ac:dyDescent="0.3">
      <c r="P45" s="14"/>
    </row>
    <row r="46" spans="1:17" s="41" customFormat="1" x14ac:dyDescent="0.3">
      <c r="A46" s="40"/>
      <c r="P46" s="11"/>
    </row>
    <row r="47" spans="1:17" s="44" customFormat="1" ht="28" x14ac:dyDescent="0.3">
      <c r="A47" s="2"/>
      <c r="B47" s="43" t="s">
        <v>55</v>
      </c>
      <c r="C47" s="43" t="s">
        <v>56</v>
      </c>
      <c r="D47" s="43" t="s">
        <v>57</v>
      </c>
      <c r="E47" s="43" t="s">
        <v>58</v>
      </c>
      <c r="F47" s="43" t="s">
        <v>59</v>
      </c>
      <c r="G47" s="43" t="s">
        <v>60</v>
      </c>
      <c r="H47" s="43" t="s">
        <v>61</v>
      </c>
      <c r="I47" s="43" t="s">
        <v>62</v>
      </c>
      <c r="J47" s="43" t="s">
        <v>63</v>
      </c>
      <c r="K47" s="43" t="s">
        <v>64</v>
      </c>
      <c r="L47" s="43" t="s">
        <v>65</v>
      </c>
      <c r="M47" s="43" t="s">
        <v>66</v>
      </c>
      <c r="N47" s="80" t="s">
        <v>208</v>
      </c>
      <c r="O47" s="42" t="s">
        <v>184</v>
      </c>
      <c r="P47" s="42" t="s">
        <v>132</v>
      </c>
    </row>
    <row r="48" spans="1:17" x14ac:dyDescent="0.3">
      <c r="A48" s="2" t="s">
        <v>35</v>
      </c>
      <c r="B48" s="2">
        <v>110</v>
      </c>
      <c r="C48" s="2">
        <v>174</v>
      </c>
      <c r="D48" s="2">
        <v>146</v>
      </c>
      <c r="E48" s="2">
        <v>118</v>
      </c>
      <c r="F48" s="2">
        <v>168</v>
      </c>
      <c r="G48" s="2">
        <v>56</v>
      </c>
      <c r="H48" s="2">
        <v>148</v>
      </c>
      <c r="I48" s="2">
        <v>122</v>
      </c>
      <c r="J48" s="2">
        <v>159</v>
      </c>
      <c r="K48" s="2">
        <v>125</v>
      </c>
      <c r="L48" s="2">
        <v>96</v>
      </c>
      <c r="M48" s="2">
        <v>109</v>
      </c>
      <c r="N48" s="38">
        <f>SUM(B48:M48)</f>
        <v>1531</v>
      </c>
      <c r="O48" s="2">
        <v>1427</v>
      </c>
      <c r="P48" s="16">
        <f>SUM(N48-O48)/O48</f>
        <v>7.2880168185003508E-2</v>
      </c>
    </row>
    <row r="49" spans="1:18" x14ac:dyDescent="0.3">
      <c r="A49" s="2" t="s">
        <v>76</v>
      </c>
      <c r="B49" s="2">
        <v>17</v>
      </c>
      <c r="C49" s="2">
        <v>39</v>
      </c>
      <c r="D49" s="2">
        <v>34</v>
      </c>
      <c r="E49" s="2">
        <v>19</v>
      </c>
      <c r="F49" s="2">
        <v>28</v>
      </c>
      <c r="G49" s="2">
        <v>14</v>
      </c>
      <c r="H49" s="2">
        <v>43</v>
      </c>
      <c r="I49" s="2">
        <v>29</v>
      </c>
      <c r="J49" s="2">
        <v>32</v>
      </c>
      <c r="K49" s="2">
        <v>25</v>
      </c>
      <c r="L49" s="2">
        <v>26</v>
      </c>
      <c r="M49" s="2">
        <v>19</v>
      </c>
      <c r="N49" s="38">
        <f t="shared" ref="N49:N50" si="6">SUM(B49:M49)</f>
        <v>325</v>
      </c>
      <c r="O49" s="2">
        <v>435</v>
      </c>
      <c r="P49" s="16">
        <f t="shared" ref="P49:P50" si="7">SUM(N49-O49)/O49</f>
        <v>-0.25287356321839083</v>
      </c>
    </row>
    <row r="50" spans="1:18" x14ac:dyDescent="0.3">
      <c r="A50" s="2" t="s">
        <v>77</v>
      </c>
      <c r="B50" s="2">
        <v>93</v>
      </c>
      <c r="C50" s="2">
        <v>135</v>
      </c>
      <c r="D50" s="2">
        <v>112</v>
      </c>
      <c r="E50" s="2">
        <v>99</v>
      </c>
      <c r="F50" s="2">
        <v>140</v>
      </c>
      <c r="G50" s="2">
        <v>42</v>
      </c>
      <c r="H50" s="2">
        <v>105</v>
      </c>
      <c r="I50" s="2">
        <v>93</v>
      </c>
      <c r="J50" s="2">
        <v>127</v>
      </c>
      <c r="K50" s="2">
        <v>100</v>
      </c>
      <c r="L50" s="2">
        <v>70</v>
      </c>
      <c r="M50" s="2">
        <v>90</v>
      </c>
      <c r="N50" s="38">
        <f t="shared" si="6"/>
        <v>1206</v>
      </c>
      <c r="O50" s="2">
        <v>992</v>
      </c>
      <c r="P50" s="16">
        <f t="shared" si="7"/>
        <v>0.21572580645161291</v>
      </c>
      <c r="R50" s="47"/>
    </row>
    <row r="52" spans="1:18" x14ac:dyDescent="0.3">
      <c r="A52" s="41" t="s">
        <v>185</v>
      </c>
    </row>
    <row r="54" spans="1:18" s="41" customFormat="1" x14ac:dyDescent="0.3">
      <c r="A54" s="41" t="s">
        <v>78</v>
      </c>
    </row>
    <row r="55" spans="1:18" s="44" customFormat="1" ht="28" x14ac:dyDescent="0.3">
      <c r="A55" s="2"/>
      <c r="B55" s="43" t="s">
        <v>55</v>
      </c>
      <c r="C55" s="43" t="s">
        <v>56</v>
      </c>
      <c r="D55" s="43" t="s">
        <v>57</v>
      </c>
      <c r="E55" s="43" t="s">
        <v>58</v>
      </c>
      <c r="F55" s="43" t="s">
        <v>59</v>
      </c>
      <c r="G55" s="43" t="s">
        <v>60</v>
      </c>
      <c r="H55" s="43" t="s">
        <v>61</v>
      </c>
      <c r="I55" s="43" t="s">
        <v>62</v>
      </c>
      <c r="J55" s="43" t="s">
        <v>63</v>
      </c>
      <c r="K55" s="43" t="s">
        <v>64</v>
      </c>
      <c r="L55" s="43" t="s">
        <v>65</v>
      </c>
      <c r="M55" s="43" t="s">
        <v>66</v>
      </c>
      <c r="N55" s="80" t="s">
        <v>184</v>
      </c>
      <c r="O55" s="42" t="s">
        <v>184</v>
      </c>
      <c r="P55" s="42" t="s">
        <v>132</v>
      </c>
    </row>
    <row r="56" spans="1:18" x14ac:dyDescent="0.3">
      <c r="A56" s="2" t="s">
        <v>79</v>
      </c>
      <c r="B56" s="2">
        <v>386</v>
      </c>
      <c r="C56" s="2">
        <v>255</v>
      </c>
      <c r="D56" s="2">
        <v>458</v>
      </c>
      <c r="E56" s="2">
        <v>490</v>
      </c>
      <c r="F56" s="2">
        <v>450</v>
      </c>
      <c r="G56" s="2">
        <v>227</v>
      </c>
      <c r="H56" s="2">
        <v>394</v>
      </c>
      <c r="I56" s="2">
        <v>491</v>
      </c>
      <c r="J56" s="2">
        <v>556</v>
      </c>
      <c r="K56" s="2">
        <v>436</v>
      </c>
      <c r="L56" s="2">
        <v>330</v>
      </c>
      <c r="M56" s="2">
        <v>299</v>
      </c>
      <c r="N56" s="38">
        <f>SUM(B56:M56)</f>
        <v>4772</v>
      </c>
      <c r="O56" s="2">
        <v>3497</v>
      </c>
      <c r="P56" s="16">
        <f>SUM(N56-O56)/O56</f>
        <v>0.36459822705175865</v>
      </c>
    </row>
    <row r="57" spans="1:18" x14ac:dyDescent="0.3">
      <c r="A57" s="2" t="s">
        <v>68</v>
      </c>
      <c r="B57" s="2">
        <v>3</v>
      </c>
      <c r="C57" s="2">
        <v>0</v>
      </c>
      <c r="D57" s="2">
        <v>2</v>
      </c>
      <c r="E57" s="2">
        <v>2</v>
      </c>
      <c r="F57" s="2">
        <v>0</v>
      </c>
      <c r="G57" s="2">
        <v>0</v>
      </c>
      <c r="H57" s="2">
        <v>4</v>
      </c>
      <c r="I57" s="2">
        <v>1</v>
      </c>
      <c r="J57" s="2">
        <v>2</v>
      </c>
      <c r="K57" s="2">
        <v>3</v>
      </c>
      <c r="L57" s="2">
        <v>1</v>
      </c>
      <c r="M57" s="2">
        <v>2</v>
      </c>
      <c r="N57" s="38">
        <f t="shared" ref="N57:N63" si="8">SUM(B57:M57)</f>
        <v>20</v>
      </c>
      <c r="O57" s="2">
        <v>20</v>
      </c>
      <c r="P57" s="16">
        <f t="shared" ref="P57:P64" si="9">SUM(N57-O57)/O57</f>
        <v>0</v>
      </c>
    </row>
    <row r="58" spans="1:18" x14ac:dyDescent="0.3">
      <c r="A58" s="2" t="s">
        <v>69</v>
      </c>
      <c r="B58" s="2">
        <v>383</v>
      </c>
      <c r="C58" s="2">
        <v>255</v>
      </c>
      <c r="D58" s="2">
        <v>456</v>
      </c>
      <c r="E58" s="2">
        <v>488</v>
      </c>
      <c r="F58" s="2">
        <v>450</v>
      </c>
      <c r="G58" s="2">
        <v>227</v>
      </c>
      <c r="H58" s="2">
        <v>390</v>
      </c>
      <c r="I58" s="2">
        <v>490</v>
      </c>
      <c r="J58" s="2">
        <v>554</v>
      </c>
      <c r="K58" s="2">
        <v>433</v>
      </c>
      <c r="L58" s="2">
        <v>329</v>
      </c>
      <c r="M58" s="2">
        <v>297</v>
      </c>
      <c r="N58" s="38">
        <f t="shared" si="8"/>
        <v>4752</v>
      </c>
      <c r="O58" s="2">
        <v>3477</v>
      </c>
      <c r="P58" s="16">
        <f t="shared" si="9"/>
        <v>0.36669542709232095</v>
      </c>
    </row>
    <row r="59" spans="1:18" x14ac:dyDescent="0.3">
      <c r="A59" s="2" t="s">
        <v>70</v>
      </c>
      <c r="B59" s="2">
        <v>55</v>
      </c>
      <c r="C59" s="2">
        <v>36</v>
      </c>
      <c r="D59" s="2">
        <v>61</v>
      </c>
      <c r="E59" s="2">
        <v>69</v>
      </c>
      <c r="F59" s="2">
        <v>54</v>
      </c>
      <c r="G59" s="2">
        <v>31</v>
      </c>
      <c r="H59" s="2">
        <v>82</v>
      </c>
      <c r="I59" s="2">
        <v>63</v>
      </c>
      <c r="J59" s="2">
        <v>75</v>
      </c>
      <c r="K59" s="2">
        <v>62</v>
      </c>
      <c r="L59" s="2">
        <v>44</v>
      </c>
      <c r="M59" s="2">
        <v>36</v>
      </c>
      <c r="N59" s="38">
        <f t="shared" si="8"/>
        <v>668</v>
      </c>
      <c r="O59" s="2">
        <v>576</v>
      </c>
      <c r="P59" s="16">
        <f t="shared" si="9"/>
        <v>0.15972222222222221</v>
      </c>
    </row>
    <row r="60" spans="1:18" x14ac:dyDescent="0.3">
      <c r="A60" s="2" t="s">
        <v>71</v>
      </c>
      <c r="B60" s="2">
        <v>13</v>
      </c>
      <c r="C60" s="2">
        <v>10</v>
      </c>
      <c r="D60" s="2">
        <v>15</v>
      </c>
      <c r="E60" s="2">
        <v>20</v>
      </c>
      <c r="F60" s="2">
        <v>24</v>
      </c>
      <c r="G60" s="2">
        <v>8</v>
      </c>
      <c r="H60" s="2">
        <v>16</v>
      </c>
      <c r="I60" s="2">
        <v>20</v>
      </c>
      <c r="J60" s="2">
        <v>29</v>
      </c>
      <c r="K60" s="2">
        <v>28</v>
      </c>
      <c r="L60" s="2">
        <v>9</v>
      </c>
      <c r="M60" s="2">
        <v>14</v>
      </c>
      <c r="N60" s="38">
        <f t="shared" si="8"/>
        <v>206</v>
      </c>
      <c r="O60" s="2">
        <v>141</v>
      </c>
      <c r="P60" s="16">
        <f t="shared" si="9"/>
        <v>0.46099290780141844</v>
      </c>
    </row>
    <row r="61" spans="1:18" x14ac:dyDescent="0.3">
      <c r="A61" s="2" t="s">
        <v>72</v>
      </c>
      <c r="B61" s="2">
        <v>68</v>
      </c>
      <c r="C61" s="2">
        <v>46</v>
      </c>
      <c r="D61" s="2">
        <v>76</v>
      </c>
      <c r="E61" s="2">
        <v>89</v>
      </c>
      <c r="F61" s="2">
        <v>78</v>
      </c>
      <c r="G61" s="2">
        <v>39</v>
      </c>
      <c r="H61" s="2">
        <v>98</v>
      </c>
      <c r="I61" s="2">
        <v>83</v>
      </c>
      <c r="J61" s="2">
        <v>104</v>
      </c>
      <c r="K61" s="2">
        <v>90</v>
      </c>
      <c r="L61" s="2">
        <v>53</v>
      </c>
      <c r="M61" s="2">
        <v>50</v>
      </c>
      <c r="N61" s="38">
        <f t="shared" si="8"/>
        <v>874</v>
      </c>
      <c r="O61" s="2">
        <v>717</v>
      </c>
      <c r="P61" s="16">
        <f t="shared" si="9"/>
        <v>0.21896792189679218</v>
      </c>
    </row>
    <row r="62" spans="1:18" x14ac:dyDescent="0.3">
      <c r="A62" s="2" t="s">
        <v>73</v>
      </c>
      <c r="B62" s="2">
        <v>319</v>
      </c>
      <c r="C62" s="2">
        <v>211</v>
      </c>
      <c r="D62" s="2">
        <v>380</v>
      </c>
      <c r="E62" s="2">
        <v>398</v>
      </c>
      <c r="F62" s="2">
        <v>374</v>
      </c>
      <c r="G62" s="2">
        <v>193</v>
      </c>
      <c r="H62" s="2">
        <v>285</v>
      </c>
      <c r="I62" s="2">
        <v>413</v>
      </c>
      <c r="J62" s="2">
        <v>438</v>
      </c>
      <c r="K62" s="2">
        <v>352</v>
      </c>
      <c r="L62" s="2">
        <v>279</v>
      </c>
      <c r="M62" s="2">
        <v>248</v>
      </c>
      <c r="N62" s="38">
        <f t="shared" si="8"/>
        <v>3890</v>
      </c>
      <c r="O62" s="2">
        <v>2783</v>
      </c>
      <c r="P62" s="16">
        <f t="shared" si="9"/>
        <v>0.39777218828602229</v>
      </c>
    </row>
    <row r="63" spans="1:18" x14ac:dyDescent="0.3">
      <c r="A63" s="2" t="s">
        <v>74</v>
      </c>
      <c r="B63" s="81">
        <f t="shared" ref="B63:M63" si="10">SUM(B61/(B61+B62))*100</f>
        <v>17.571059431524546</v>
      </c>
      <c r="C63" s="81">
        <f t="shared" si="10"/>
        <v>17.898832684824903</v>
      </c>
      <c r="D63" s="81">
        <f t="shared" si="10"/>
        <v>16.666666666666664</v>
      </c>
      <c r="E63" s="81">
        <f t="shared" si="10"/>
        <v>18.275154004106774</v>
      </c>
      <c r="F63" s="81">
        <f t="shared" si="10"/>
        <v>17.256637168141591</v>
      </c>
      <c r="G63" s="81">
        <f t="shared" si="10"/>
        <v>16.810344827586206</v>
      </c>
      <c r="H63" s="81">
        <f t="shared" si="10"/>
        <v>25.587467362924283</v>
      </c>
      <c r="I63" s="81">
        <f t="shared" si="10"/>
        <v>16.733870967741936</v>
      </c>
      <c r="J63" s="81">
        <f>SUM(J61/(J61+J62))*100</f>
        <v>19.188191881918819</v>
      </c>
      <c r="K63" s="81">
        <f>SUM(K61/(K61+K62))*100</f>
        <v>20.361990950226243</v>
      </c>
      <c r="L63" s="81">
        <f>SUM(L61/(L61+L62))*100</f>
        <v>15.963855421686745</v>
      </c>
      <c r="M63" s="81">
        <f t="shared" si="10"/>
        <v>16.778523489932887</v>
      </c>
      <c r="N63" s="82">
        <f t="shared" si="8"/>
        <v>219.09259485728163</v>
      </c>
      <c r="O63" s="81">
        <v>247.91</v>
      </c>
      <c r="P63" s="16">
        <f t="shared" si="9"/>
        <v>-0.11624139866370203</v>
      </c>
    </row>
    <row r="64" spans="1:18" x14ac:dyDescent="0.3">
      <c r="A64" s="2" t="s">
        <v>75</v>
      </c>
      <c r="B64" s="81">
        <f>SUM(B62/(B61+B62))*100</f>
        <v>82.428940568475454</v>
      </c>
      <c r="C64" s="81">
        <f t="shared" ref="C64:M64" si="11">SUM(C62/(C61+C62))*100</f>
        <v>82.10116731517509</v>
      </c>
      <c r="D64" s="81">
        <f t="shared" si="11"/>
        <v>83.333333333333343</v>
      </c>
      <c r="E64" s="81">
        <f t="shared" si="11"/>
        <v>81.724845995893219</v>
      </c>
      <c r="F64" s="81">
        <f t="shared" si="11"/>
        <v>82.743362831858406</v>
      </c>
      <c r="G64" s="81">
        <f t="shared" si="11"/>
        <v>83.189655172413794</v>
      </c>
      <c r="H64" s="81">
        <f t="shared" si="11"/>
        <v>74.412532637075728</v>
      </c>
      <c r="I64" s="81">
        <f t="shared" si="11"/>
        <v>83.266129032258064</v>
      </c>
      <c r="J64" s="81">
        <f t="shared" si="11"/>
        <v>80.811808118081188</v>
      </c>
      <c r="K64" s="81">
        <f t="shared" si="11"/>
        <v>79.638009049773757</v>
      </c>
      <c r="L64" s="81">
        <f t="shared" si="11"/>
        <v>84.036144578313255</v>
      </c>
      <c r="M64" s="81">
        <f t="shared" si="11"/>
        <v>83.22147651006712</v>
      </c>
      <c r="N64" s="81">
        <f t="shared" ref="N64" si="12">SUM(N62/(N61+N62))*100</f>
        <v>81.654072208228385</v>
      </c>
      <c r="O64" s="81">
        <v>79.510000000000005</v>
      </c>
      <c r="P64" s="16">
        <f t="shared" si="9"/>
        <v>2.6966069780258832E-2</v>
      </c>
    </row>
    <row r="67" spans="1:16" s="41" customFormat="1" x14ac:dyDescent="0.3">
      <c r="A67" s="40" t="s">
        <v>80</v>
      </c>
    </row>
    <row r="68" spans="1:16" s="44" customFormat="1" ht="28" x14ac:dyDescent="0.3">
      <c r="A68" s="2"/>
      <c r="B68" s="43" t="s">
        <v>55</v>
      </c>
      <c r="C68" s="43" t="s">
        <v>56</v>
      </c>
      <c r="D68" s="43" t="s">
        <v>57</v>
      </c>
      <c r="E68" s="43" t="s">
        <v>58</v>
      </c>
      <c r="F68" s="43" t="s">
        <v>59</v>
      </c>
      <c r="G68" s="43" t="s">
        <v>60</v>
      </c>
      <c r="H68" s="43" t="s">
        <v>61</v>
      </c>
      <c r="I68" s="43" t="s">
        <v>62</v>
      </c>
      <c r="J68" s="43" t="s">
        <v>63</v>
      </c>
      <c r="K68" s="43" t="s">
        <v>64</v>
      </c>
      <c r="L68" s="43" t="s">
        <v>65</v>
      </c>
      <c r="M68" s="43" t="s">
        <v>66</v>
      </c>
      <c r="N68" s="80" t="s">
        <v>208</v>
      </c>
      <c r="O68" s="42" t="s">
        <v>184</v>
      </c>
      <c r="P68" s="42" t="s">
        <v>132</v>
      </c>
    </row>
    <row r="69" spans="1:16" x14ac:dyDescent="0.3">
      <c r="A69" s="2" t="s">
        <v>35</v>
      </c>
      <c r="B69" s="2">
        <v>70</v>
      </c>
      <c r="C69" s="2">
        <v>46</v>
      </c>
      <c r="D69" s="2">
        <v>77</v>
      </c>
      <c r="E69" s="2">
        <v>90</v>
      </c>
      <c r="F69" s="2">
        <v>78</v>
      </c>
      <c r="G69" s="2">
        <v>38</v>
      </c>
      <c r="H69" s="2">
        <v>99</v>
      </c>
      <c r="I69" s="2">
        <v>85</v>
      </c>
      <c r="J69" s="2">
        <v>110</v>
      </c>
      <c r="K69" s="2">
        <v>92</v>
      </c>
      <c r="L69" s="2">
        <v>57</v>
      </c>
      <c r="M69" s="2">
        <v>50</v>
      </c>
      <c r="N69" s="38">
        <f>SUM(B69:M69)</f>
        <v>892</v>
      </c>
      <c r="O69" s="2">
        <v>726</v>
      </c>
      <c r="P69" s="16">
        <f>SUM(N69-O69)/O69</f>
        <v>0.22865013774104684</v>
      </c>
    </row>
    <row r="70" spans="1:16" x14ac:dyDescent="0.3">
      <c r="A70" s="2" t="s">
        <v>81</v>
      </c>
      <c r="B70" s="2">
        <v>15</v>
      </c>
      <c r="C70" s="2">
        <v>11</v>
      </c>
      <c r="D70" s="2">
        <v>16</v>
      </c>
      <c r="E70" s="2">
        <v>25</v>
      </c>
      <c r="F70" s="2">
        <v>24</v>
      </c>
      <c r="G70" s="2">
        <v>8</v>
      </c>
      <c r="H70" s="2">
        <v>17</v>
      </c>
      <c r="I70" s="2">
        <v>20</v>
      </c>
      <c r="J70" s="2">
        <v>30</v>
      </c>
      <c r="K70" s="2">
        <v>29</v>
      </c>
      <c r="L70" s="2">
        <v>9</v>
      </c>
      <c r="M70" s="2">
        <v>15</v>
      </c>
      <c r="N70" s="38">
        <f t="shared" ref="N70:N71" si="13">SUM(B70:M70)</f>
        <v>219</v>
      </c>
      <c r="O70" s="2">
        <v>151</v>
      </c>
      <c r="P70" s="16">
        <f t="shared" ref="P70:P71" si="14">SUM(N70-O70)/O70</f>
        <v>0.45033112582781459</v>
      </c>
    </row>
    <row r="71" spans="1:16" x14ac:dyDescent="0.3">
      <c r="A71" s="2" t="s">
        <v>82</v>
      </c>
      <c r="B71" s="2">
        <v>55</v>
      </c>
      <c r="C71" s="2">
        <v>35</v>
      </c>
      <c r="D71" s="2">
        <v>61</v>
      </c>
      <c r="E71" s="2">
        <v>65</v>
      </c>
      <c r="F71" s="2">
        <v>54</v>
      </c>
      <c r="G71" s="2">
        <v>30</v>
      </c>
      <c r="H71" s="2">
        <v>82</v>
      </c>
      <c r="I71" s="2">
        <v>65</v>
      </c>
      <c r="J71" s="2">
        <v>80</v>
      </c>
      <c r="K71" s="2">
        <v>63</v>
      </c>
      <c r="L71" s="2">
        <v>48</v>
      </c>
      <c r="M71" s="2">
        <v>35</v>
      </c>
      <c r="N71" s="38">
        <f t="shared" si="13"/>
        <v>673</v>
      </c>
      <c r="O71" s="2">
        <v>575</v>
      </c>
      <c r="P71" s="16">
        <f t="shared" si="14"/>
        <v>0.17043478260869566</v>
      </c>
    </row>
    <row r="73" spans="1:16" ht="16.75" customHeight="1" x14ac:dyDescent="0.3"/>
    <row r="74" spans="1:16" x14ac:dyDescent="0.3">
      <c r="A74" s="11" t="s">
        <v>238</v>
      </c>
      <c r="C74" s="14"/>
    </row>
    <row r="75" spans="1:16" s="50" customFormat="1" ht="42" x14ac:dyDescent="0.3">
      <c r="A75" s="49" t="s">
        <v>83</v>
      </c>
      <c r="B75" s="49" t="s">
        <v>35</v>
      </c>
      <c r="C75" s="49" t="s">
        <v>38</v>
      </c>
      <c r="D75" s="49" t="s">
        <v>41</v>
      </c>
      <c r="E75" s="49" t="s">
        <v>131</v>
      </c>
      <c r="F75" s="49" t="s">
        <v>84</v>
      </c>
      <c r="G75" s="180" t="s">
        <v>250</v>
      </c>
      <c r="H75" s="42" t="s">
        <v>209</v>
      </c>
      <c r="I75" s="42" t="s">
        <v>132</v>
      </c>
      <c r="P75" s="79"/>
    </row>
    <row r="76" spans="1:16" x14ac:dyDescent="0.3">
      <c r="A76" s="177" t="s">
        <v>85</v>
      </c>
      <c r="B76" s="51">
        <v>0</v>
      </c>
      <c r="C76" s="51"/>
      <c r="D76" s="51"/>
      <c r="E76" s="51">
        <v>0</v>
      </c>
      <c r="F76" s="120">
        <v>0</v>
      </c>
      <c r="G76" s="181"/>
      <c r="H76" s="2">
        <v>0</v>
      </c>
      <c r="I76" s="2">
        <v>0</v>
      </c>
      <c r="N76" s="1"/>
      <c r="O76" s="1"/>
      <c r="P76" s="41"/>
    </row>
    <row r="77" spans="1:16" ht="17" customHeight="1" x14ac:dyDescent="0.3">
      <c r="A77" s="177" t="s">
        <v>86</v>
      </c>
      <c r="B77" s="51">
        <v>465</v>
      </c>
      <c r="C77" s="51">
        <v>155</v>
      </c>
      <c r="D77" s="51">
        <v>341</v>
      </c>
      <c r="E77" s="51">
        <v>0</v>
      </c>
      <c r="F77" s="120">
        <v>16</v>
      </c>
      <c r="G77" s="181">
        <v>496</v>
      </c>
      <c r="H77" s="83">
        <v>1302</v>
      </c>
      <c r="I77" s="16">
        <f>(G77-H77)/H77</f>
        <v>-0.61904761904761907</v>
      </c>
      <c r="N77" s="1"/>
      <c r="O77" s="1"/>
      <c r="P77" s="41"/>
    </row>
    <row r="78" spans="1:16" ht="19.5" customHeight="1" x14ac:dyDescent="0.3">
      <c r="A78" s="178" t="s">
        <v>130</v>
      </c>
      <c r="B78" s="119">
        <v>764.9</v>
      </c>
      <c r="C78" s="51">
        <v>732.9</v>
      </c>
      <c r="D78" s="51">
        <v>32</v>
      </c>
      <c r="E78" s="51">
        <v>0</v>
      </c>
      <c r="F78" s="120">
        <v>25</v>
      </c>
      <c r="G78" s="181">
        <v>764.9</v>
      </c>
      <c r="H78" s="83">
        <v>1303.17</v>
      </c>
      <c r="I78" s="16">
        <f>(G78-H78)/H78</f>
        <v>-0.41304664778962075</v>
      </c>
      <c r="N78" s="1"/>
      <c r="O78" s="1"/>
      <c r="P78" s="41"/>
    </row>
    <row r="79" spans="1:16" x14ac:dyDescent="0.3">
      <c r="A79" s="179" t="s">
        <v>87</v>
      </c>
      <c r="B79" s="53">
        <f>SUM(B76:B78)</f>
        <v>1229.9000000000001</v>
      </c>
      <c r="C79" s="53">
        <f t="shared" ref="C79:D79" si="15">SUM(C76:C78)</f>
        <v>887.9</v>
      </c>
      <c r="D79" s="53">
        <f t="shared" si="15"/>
        <v>373</v>
      </c>
      <c r="E79" s="51">
        <v>0</v>
      </c>
      <c r="F79" s="120">
        <f>SUM(F76:F78)</f>
        <v>41</v>
      </c>
      <c r="G79" s="181">
        <v>1129.9000000000001</v>
      </c>
      <c r="H79" s="83">
        <v>2605.17</v>
      </c>
      <c r="I79" s="16">
        <f>(G79-H79)/H79</f>
        <v>-0.56628550152197354</v>
      </c>
      <c r="N79" s="1"/>
      <c r="O79" s="1"/>
      <c r="P79" s="41"/>
    </row>
    <row r="80" spans="1:16" x14ac:dyDescent="0.3">
      <c r="A80" s="177"/>
      <c r="B80" s="51"/>
      <c r="C80" s="51"/>
      <c r="D80" s="51"/>
      <c r="E80" s="2"/>
      <c r="F80" s="2"/>
      <c r="G80" s="183"/>
      <c r="H80" s="83"/>
      <c r="I80" s="16"/>
      <c r="N80" s="1"/>
      <c r="O80" s="1"/>
      <c r="P80" s="41"/>
    </row>
    <row r="81" spans="1:16" ht="18.5" customHeight="1" x14ac:dyDescent="0.3">
      <c r="A81" s="177" t="s">
        <v>88</v>
      </c>
      <c r="B81" s="51"/>
      <c r="C81" s="51"/>
      <c r="D81" s="51"/>
      <c r="E81" s="2"/>
      <c r="F81" s="2">
        <v>0</v>
      </c>
      <c r="G81" s="181"/>
      <c r="H81" s="51">
        <v>0</v>
      </c>
      <c r="I81" s="16"/>
      <c r="N81" s="1"/>
      <c r="O81" s="1"/>
      <c r="P81" s="41"/>
    </row>
    <row r="82" spans="1:16" ht="18.5" customHeight="1" x14ac:dyDescent="0.3">
      <c r="A82" s="177" t="s">
        <v>89</v>
      </c>
      <c r="B82" s="51">
        <v>2205</v>
      </c>
      <c r="C82" s="51"/>
      <c r="D82" s="51"/>
      <c r="E82" s="2"/>
      <c r="F82" s="2">
        <v>143</v>
      </c>
      <c r="G82" s="181">
        <v>2205</v>
      </c>
      <c r="H82" s="51">
        <v>2205.25</v>
      </c>
      <c r="I82" s="16">
        <f t="shared" ref="I82:I85" si="16">(G82-H82)/H82</f>
        <v>-1.1336583153837434E-4</v>
      </c>
      <c r="N82" s="1"/>
      <c r="O82" s="1"/>
      <c r="P82" s="41"/>
    </row>
    <row r="83" spans="1:16" ht="42" x14ac:dyDescent="0.3">
      <c r="A83" s="177" t="s">
        <v>90</v>
      </c>
      <c r="B83" s="54">
        <v>150</v>
      </c>
      <c r="C83" s="51">
        <v>0</v>
      </c>
      <c r="D83" s="51">
        <v>150</v>
      </c>
      <c r="E83" s="2">
        <v>0</v>
      </c>
      <c r="F83" s="2">
        <v>1</v>
      </c>
      <c r="G83" s="181">
        <v>150</v>
      </c>
      <c r="H83" s="51">
        <f>SUM(B83:G83)</f>
        <v>451</v>
      </c>
      <c r="I83" s="16">
        <f t="shared" si="16"/>
        <v>-0.66740576496674053</v>
      </c>
      <c r="N83" s="1"/>
      <c r="O83" s="1"/>
      <c r="P83" s="41"/>
    </row>
    <row r="84" spans="1:16" ht="23.5" customHeight="1" x14ac:dyDescent="0.3">
      <c r="A84" s="12" t="s">
        <v>218</v>
      </c>
      <c r="B84" s="51"/>
      <c r="C84" s="51"/>
      <c r="D84" s="51"/>
      <c r="E84" s="2"/>
      <c r="F84" s="2"/>
      <c r="G84" s="183"/>
      <c r="H84" s="2"/>
      <c r="I84" s="16"/>
      <c r="N84" s="1"/>
      <c r="O84" s="1"/>
      <c r="P84" s="41"/>
    </row>
    <row r="85" spans="1:16" ht="28" x14ac:dyDescent="0.3">
      <c r="A85" s="52" t="s">
        <v>91</v>
      </c>
      <c r="B85" s="176">
        <v>4743.3599999999997</v>
      </c>
      <c r="C85" s="55"/>
      <c r="D85" s="55"/>
      <c r="E85" s="55"/>
      <c r="F85" s="56"/>
      <c r="G85" s="5">
        <f>4743.36+1129.9+2205+150</f>
        <v>8228.26</v>
      </c>
      <c r="H85" s="51">
        <f>4159.42+451+2205.25+2605.17</f>
        <v>9420.84</v>
      </c>
      <c r="I85" s="16">
        <f t="shared" si="16"/>
        <v>-0.12658956101579052</v>
      </c>
      <c r="N85" s="1"/>
      <c r="O85" s="1"/>
      <c r="P85" s="41"/>
    </row>
    <row r="86" spans="1:16" x14ac:dyDescent="0.3">
      <c r="A86" s="57"/>
      <c r="B86" s="58"/>
      <c r="C86" s="58"/>
      <c r="D86" s="58"/>
      <c r="E86" s="58"/>
      <c r="F86" s="11"/>
      <c r="H86" s="59"/>
    </row>
    <row r="87" spans="1:16" x14ac:dyDescent="0.3">
      <c r="H87" s="59"/>
    </row>
    <row r="88" spans="1:16" ht="42" x14ac:dyDescent="0.3">
      <c r="A88" s="48" t="s">
        <v>92</v>
      </c>
      <c r="H88" s="59"/>
    </row>
    <row r="89" spans="1:16" s="44" customFormat="1" ht="28" x14ac:dyDescent="0.3">
      <c r="A89" s="49"/>
      <c r="B89" s="63" t="s">
        <v>233</v>
      </c>
      <c r="C89" s="43" t="s">
        <v>205</v>
      </c>
      <c r="D89" s="42" t="s">
        <v>132</v>
      </c>
      <c r="H89" s="60"/>
      <c r="N89" s="66"/>
      <c r="O89" s="66"/>
    </row>
    <row r="90" spans="1:16" ht="56" x14ac:dyDescent="0.3">
      <c r="A90" s="177" t="s">
        <v>93</v>
      </c>
      <c r="B90" s="181">
        <v>242</v>
      </c>
      <c r="C90" s="175">
        <v>284</v>
      </c>
      <c r="D90" s="16">
        <f>(B90-C90)/C90</f>
        <v>-0.14788732394366197</v>
      </c>
      <c r="H90" s="59"/>
    </row>
    <row r="91" spans="1:16" ht="42" x14ac:dyDescent="0.3">
      <c r="A91" s="177" t="s">
        <v>94</v>
      </c>
      <c r="B91" s="181">
        <v>51</v>
      </c>
      <c r="C91" s="175">
        <v>0</v>
      </c>
      <c r="D91" s="16">
        <v>0</v>
      </c>
      <c r="H91" s="59"/>
    </row>
    <row r="92" spans="1:16" x14ac:dyDescent="0.3">
      <c r="A92" s="52" t="s">
        <v>95</v>
      </c>
      <c r="B92" s="181">
        <f>SUM(B90 -B91)</f>
        <v>191</v>
      </c>
      <c r="C92" s="118">
        <v>284</v>
      </c>
      <c r="D92" s="16">
        <f>(B92-C92)/B92</f>
        <v>-0.48691099476439792</v>
      </c>
      <c r="H92" s="59"/>
    </row>
    <row r="93" spans="1:16" x14ac:dyDescent="0.3">
      <c r="M93" s="41"/>
      <c r="O93" s="1"/>
    </row>
  </sheetData>
  <mergeCells count="2">
    <mergeCell ref="A34:D34"/>
    <mergeCell ref="A1:D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54"/>
  <sheetViews>
    <sheetView zoomScale="90" zoomScaleNormal="90" workbookViewId="0">
      <selection activeCell="A2" sqref="A2"/>
    </sheetView>
  </sheetViews>
  <sheetFormatPr defaultRowHeight="14" x14ac:dyDescent="0.3"/>
  <cols>
    <col min="1" max="1" width="16.1796875" style="1" customWidth="1"/>
    <col min="2" max="2" width="9.7265625" style="1" customWidth="1"/>
    <col min="3" max="3" width="9.81640625" style="1" customWidth="1"/>
    <col min="4" max="4" width="10.1796875" style="1" customWidth="1"/>
    <col min="5" max="5" width="9.453125" style="1" customWidth="1"/>
    <col min="6" max="6" width="9.6328125" style="1" customWidth="1"/>
    <col min="7" max="7" width="11.7265625" style="1" customWidth="1"/>
    <col min="8" max="11" width="9.7265625" style="1" bestFit="1" customWidth="1"/>
    <col min="12" max="12" width="9.81640625" style="1" customWidth="1"/>
    <col min="13" max="13" width="12.7265625" style="1" customWidth="1"/>
    <col min="14" max="14" width="9.54296875" style="1" customWidth="1"/>
    <col min="15" max="15" width="10.08984375" style="1" customWidth="1"/>
    <col min="16" max="16" width="9.36328125" style="1" customWidth="1"/>
    <col min="17" max="17" width="10.08984375" style="1" customWidth="1"/>
    <col min="18" max="19" width="8.7265625" style="1"/>
    <col min="20" max="23" width="8.81640625" style="1" bestFit="1" customWidth="1"/>
    <col min="24" max="16384" width="8.7265625" style="1"/>
  </cols>
  <sheetData>
    <row r="1" spans="1:12" s="220" customFormat="1" ht="18" customHeight="1" x14ac:dyDescent="0.35">
      <c r="A1" s="222" t="s">
        <v>241</v>
      </c>
      <c r="B1" s="223"/>
      <c r="C1" s="223"/>
      <c r="D1" s="223"/>
      <c r="E1" s="223"/>
      <c r="F1" s="223"/>
      <c r="G1" s="223"/>
      <c r="K1" s="224"/>
    </row>
    <row r="2" spans="1:12" ht="18" customHeight="1" x14ac:dyDescent="0.3">
      <c r="A2" s="86"/>
      <c r="B2" s="87"/>
      <c r="C2" s="87"/>
      <c r="D2" s="87"/>
      <c r="E2" s="87"/>
      <c r="F2" s="87"/>
      <c r="G2" s="87"/>
      <c r="K2" s="143"/>
    </row>
    <row r="3" spans="1:12" x14ac:dyDescent="0.3">
      <c r="A3" s="56" t="s">
        <v>104</v>
      </c>
      <c r="B3" s="144" t="s">
        <v>10</v>
      </c>
      <c r="C3" s="145" t="s">
        <v>11</v>
      </c>
      <c r="D3" s="144" t="s">
        <v>120</v>
      </c>
      <c r="E3" s="144" t="s">
        <v>124</v>
      </c>
      <c r="F3" s="144" t="s">
        <v>126</v>
      </c>
      <c r="G3" s="144" t="s">
        <v>146</v>
      </c>
      <c r="H3" s="146" t="s">
        <v>165</v>
      </c>
      <c r="I3" s="114" t="s">
        <v>180</v>
      </c>
      <c r="J3" s="114" t="s">
        <v>202</v>
      </c>
      <c r="K3" s="38" t="s">
        <v>217</v>
      </c>
      <c r="L3" s="2" t="s">
        <v>240</v>
      </c>
    </row>
    <row r="4" spans="1:12" x14ac:dyDescent="0.3">
      <c r="A4" s="56" t="s">
        <v>105</v>
      </c>
      <c r="B4" s="147">
        <v>1578</v>
      </c>
      <c r="C4" s="143">
        <v>1439</v>
      </c>
      <c r="D4" s="147">
        <v>1301</v>
      </c>
      <c r="E4" s="147">
        <v>1095</v>
      </c>
      <c r="F4" s="147">
        <v>518</v>
      </c>
      <c r="G4" s="147">
        <v>430</v>
      </c>
      <c r="H4" s="121">
        <v>348</v>
      </c>
      <c r="I4" s="121">
        <v>538</v>
      </c>
      <c r="J4" s="121">
        <v>162</v>
      </c>
      <c r="K4" s="2">
        <v>78</v>
      </c>
      <c r="L4" s="2">
        <v>24</v>
      </c>
    </row>
    <row r="5" spans="1:12" x14ac:dyDescent="0.3">
      <c r="A5" s="56" t="s">
        <v>106</v>
      </c>
      <c r="B5" s="143">
        <v>434</v>
      </c>
      <c r="C5" s="143">
        <v>362</v>
      </c>
      <c r="D5" s="70">
        <v>13</v>
      </c>
      <c r="E5" s="70">
        <v>6</v>
      </c>
      <c r="F5" s="70">
        <v>12</v>
      </c>
      <c r="G5" s="2">
        <v>0</v>
      </c>
      <c r="H5" s="121">
        <v>124</v>
      </c>
      <c r="I5" s="121">
        <v>26</v>
      </c>
      <c r="J5" s="121">
        <v>8</v>
      </c>
      <c r="K5" s="2">
        <v>1</v>
      </c>
      <c r="L5" s="2">
        <v>21</v>
      </c>
    </row>
    <row r="6" spans="1:12" x14ac:dyDescent="0.3">
      <c r="A6" s="56" t="s">
        <v>107</v>
      </c>
      <c r="B6" s="2">
        <v>51</v>
      </c>
      <c r="C6" s="143">
        <v>0</v>
      </c>
      <c r="D6" s="2">
        <v>1</v>
      </c>
      <c r="E6" s="2">
        <v>0</v>
      </c>
      <c r="F6" s="2">
        <v>0</v>
      </c>
      <c r="G6" s="2">
        <v>0</v>
      </c>
      <c r="H6" s="121">
        <v>0</v>
      </c>
      <c r="I6" s="121">
        <v>0</v>
      </c>
      <c r="J6" s="121">
        <v>0</v>
      </c>
      <c r="K6" s="2">
        <v>0</v>
      </c>
      <c r="L6" s="2">
        <v>0</v>
      </c>
    </row>
    <row r="7" spans="1:12" x14ac:dyDescent="0.3">
      <c r="A7" s="56" t="s">
        <v>108</v>
      </c>
      <c r="B7" s="2">
        <v>20</v>
      </c>
      <c r="C7" s="143">
        <v>20</v>
      </c>
      <c r="D7" s="2">
        <v>32</v>
      </c>
      <c r="E7" s="2">
        <v>31</v>
      </c>
      <c r="F7" s="2">
        <v>17</v>
      </c>
      <c r="G7" s="2">
        <v>27</v>
      </c>
      <c r="H7" s="121">
        <v>1</v>
      </c>
      <c r="I7" s="121">
        <v>0</v>
      </c>
      <c r="J7" s="121">
        <v>9</v>
      </c>
      <c r="K7" s="2">
        <v>4</v>
      </c>
      <c r="L7" s="2">
        <v>3</v>
      </c>
    </row>
    <row r="8" spans="1:12" x14ac:dyDescent="0.3">
      <c r="A8" s="56" t="s">
        <v>109</v>
      </c>
      <c r="B8" s="2">
        <v>0</v>
      </c>
      <c r="C8" s="143">
        <v>8</v>
      </c>
      <c r="D8" s="2">
        <v>0</v>
      </c>
      <c r="E8" s="2">
        <v>0</v>
      </c>
      <c r="F8" s="2">
        <v>0</v>
      </c>
      <c r="G8" s="2">
        <v>0</v>
      </c>
      <c r="H8" s="121">
        <v>0</v>
      </c>
      <c r="I8" s="121">
        <v>0</v>
      </c>
      <c r="J8" s="121">
        <v>0</v>
      </c>
      <c r="K8" s="2">
        <v>0</v>
      </c>
      <c r="L8" s="2">
        <v>0</v>
      </c>
    </row>
    <row r="9" spans="1:12" x14ac:dyDescent="0.3">
      <c r="A9" s="56" t="s">
        <v>110</v>
      </c>
      <c r="B9" s="2">
        <v>0</v>
      </c>
      <c r="C9" s="143">
        <v>0</v>
      </c>
      <c r="D9" s="2">
        <v>0</v>
      </c>
      <c r="E9" s="2">
        <v>0</v>
      </c>
      <c r="F9" s="2">
        <v>0</v>
      </c>
      <c r="G9" s="2">
        <v>0</v>
      </c>
      <c r="H9" s="121">
        <v>0</v>
      </c>
      <c r="I9" s="121">
        <v>0</v>
      </c>
      <c r="J9" s="121">
        <v>0</v>
      </c>
      <c r="K9" s="2">
        <v>0</v>
      </c>
      <c r="L9" s="2">
        <v>0</v>
      </c>
    </row>
    <row r="10" spans="1:12" x14ac:dyDescent="0.3">
      <c r="A10" s="56" t="s">
        <v>111</v>
      </c>
      <c r="B10" s="2">
        <v>37</v>
      </c>
      <c r="C10" s="143">
        <v>15</v>
      </c>
      <c r="D10" s="2">
        <v>11</v>
      </c>
      <c r="E10" s="2">
        <v>2</v>
      </c>
      <c r="F10" s="2">
        <v>6</v>
      </c>
      <c r="G10" s="2">
        <v>0</v>
      </c>
      <c r="H10" s="121">
        <v>100</v>
      </c>
      <c r="I10" s="121">
        <v>9</v>
      </c>
      <c r="J10" s="121">
        <v>2</v>
      </c>
      <c r="K10" s="2">
        <v>2</v>
      </c>
      <c r="L10" s="2">
        <v>0</v>
      </c>
    </row>
    <row r="11" spans="1:12" x14ac:dyDescent="0.3">
      <c r="A11" s="2"/>
      <c r="B11" s="2"/>
      <c r="C11" s="143"/>
      <c r="D11" s="2"/>
      <c r="E11" s="2"/>
      <c r="F11" s="2"/>
      <c r="G11" s="2"/>
      <c r="H11" s="121"/>
      <c r="I11" s="121"/>
      <c r="J11" s="121"/>
      <c r="K11" s="2"/>
      <c r="L11" s="2"/>
    </row>
    <row r="12" spans="1:12" x14ac:dyDescent="0.3">
      <c r="A12" s="148" t="s">
        <v>35</v>
      </c>
      <c r="B12" s="149">
        <f>SUM(B4:B10)</f>
        <v>2120</v>
      </c>
      <c r="C12" s="150">
        <f>SUM(C4:C10)</f>
        <v>1844</v>
      </c>
      <c r="D12" s="149">
        <f>SUM(D4:D10)</f>
        <v>1358</v>
      </c>
      <c r="E12" s="149">
        <f>SUM(E4:E10)</f>
        <v>1134</v>
      </c>
      <c r="F12" s="149">
        <f>SUM(F4:F10)</f>
        <v>553</v>
      </c>
      <c r="G12" s="149">
        <f t="shared" ref="G12" si="0">SUM(G4:G10)</f>
        <v>457</v>
      </c>
      <c r="H12" s="122">
        <f>SUM(H4:H10)</f>
        <v>573</v>
      </c>
      <c r="I12" s="122">
        <f>SUM(I4:I10)</f>
        <v>573</v>
      </c>
      <c r="J12" s="122">
        <f>SUM(J4:J10)</f>
        <v>181</v>
      </c>
      <c r="K12" s="123">
        <f>SUM(K4:K11)</f>
        <v>85</v>
      </c>
      <c r="L12" s="123">
        <f>SUM(L4:L11)</f>
        <v>48</v>
      </c>
    </row>
    <row r="13" spans="1:12" ht="28" x14ac:dyDescent="0.3">
      <c r="A13" s="151" t="s">
        <v>112</v>
      </c>
      <c r="B13" s="126">
        <v>-0.10299999999999999</v>
      </c>
      <c r="C13" s="126">
        <v>-0.13</v>
      </c>
      <c r="D13" s="126">
        <v>-0.26400000000000001</v>
      </c>
      <c r="E13" s="126">
        <v>-0.16500000000000001</v>
      </c>
      <c r="F13" s="126">
        <v>-0.48799999999999999</v>
      </c>
      <c r="G13" s="152">
        <v>-0.17399999999999999</v>
      </c>
      <c r="H13" s="153">
        <v>0.254</v>
      </c>
      <c r="I13" s="124">
        <v>0</v>
      </c>
      <c r="J13" s="124">
        <v>-0.68400000000000005</v>
      </c>
      <c r="K13" s="125">
        <v>-4.7000000000000002E-3</v>
      </c>
      <c r="L13" s="126">
        <v>-0.44</v>
      </c>
    </row>
    <row r="14" spans="1:12" ht="42" x14ac:dyDescent="0.3">
      <c r="A14" s="154" t="s">
        <v>204</v>
      </c>
      <c r="B14" s="12">
        <v>427</v>
      </c>
      <c r="C14" s="12">
        <v>189</v>
      </c>
      <c r="D14" s="12">
        <v>907</v>
      </c>
      <c r="E14" s="12">
        <v>479</v>
      </c>
      <c r="F14" s="155">
        <v>3580</v>
      </c>
      <c r="G14" s="12">
        <v>507</v>
      </c>
      <c r="H14" s="156">
        <v>1001</v>
      </c>
      <c r="I14" s="127">
        <v>16285</v>
      </c>
      <c r="J14" s="127">
        <v>16080</v>
      </c>
      <c r="K14" s="70">
        <v>6080</v>
      </c>
      <c r="L14" s="70">
        <v>4976</v>
      </c>
    </row>
    <row r="15" spans="1:12" ht="42" x14ac:dyDescent="0.3">
      <c r="A15" s="154" t="s">
        <v>113</v>
      </c>
      <c r="B15" s="76">
        <v>1636</v>
      </c>
      <c r="C15" s="76">
        <v>1339</v>
      </c>
      <c r="D15" s="76">
        <v>725</v>
      </c>
      <c r="E15" s="76">
        <v>715</v>
      </c>
      <c r="F15" s="76">
        <v>53</v>
      </c>
      <c r="G15" s="76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x14ac:dyDescent="0.3">
      <c r="A16" s="157"/>
      <c r="B16" s="158"/>
      <c r="C16" s="158"/>
      <c r="D16" s="158"/>
      <c r="E16" s="158"/>
      <c r="F16" s="158"/>
      <c r="G16" s="158"/>
      <c r="H16" s="158"/>
    </row>
    <row r="17" spans="1:36" x14ac:dyDescent="0.3">
      <c r="A17" s="157"/>
      <c r="B17" s="158"/>
      <c r="C17" s="158"/>
      <c r="D17" s="158"/>
      <c r="E17" s="158"/>
      <c r="F17" s="158"/>
      <c r="G17" s="158"/>
      <c r="H17" s="158"/>
    </row>
    <row r="20" spans="1:36" ht="15" customHeight="1" x14ac:dyDescent="0.3">
      <c r="A20" s="41" t="s">
        <v>242</v>
      </c>
      <c r="G20" s="41" t="s">
        <v>212</v>
      </c>
      <c r="M20" s="41" t="s">
        <v>203</v>
      </c>
      <c r="T20" s="41"/>
      <c r="Z20" s="11"/>
      <c r="AG20" s="48"/>
      <c r="AH20" s="64"/>
      <c r="AI20" s="48"/>
      <c r="AJ20" s="48"/>
    </row>
    <row r="21" spans="1:36" ht="42" x14ac:dyDescent="0.3">
      <c r="A21" s="38"/>
      <c r="B21" s="128" t="s">
        <v>215</v>
      </c>
      <c r="C21" s="45" t="s">
        <v>213</v>
      </c>
      <c r="D21" s="2" t="s">
        <v>214</v>
      </c>
      <c r="E21" s="45" t="s">
        <v>243</v>
      </c>
      <c r="G21" s="129"/>
      <c r="H21" s="128" t="s">
        <v>192</v>
      </c>
      <c r="I21" s="45" t="s">
        <v>213</v>
      </c>
      <c r="J21" s="2" t="s">
        <v>214</v>
      </c>
      <c r="K21" s="45" t="s">
        <v>215</v>
      </c>
      <c r="M21" s="38"/>
      <c r="N21" s="130" t="s">
        <v>173</v>
      </c>
      <c r="O21" s="45" t="s">
        <v>188</v>
      </c>
      <c r="P21" s="45" t="s">
        <v>189</v>
      </c>
      <c r="Q21" s="45" t="s">
        <v>190</v>
      </c>
      <c r="R21" s="46"/>
      <c r="T21" s="41"/>
      <c r="U21" s="40"/>
      <c r="V21" s="40"/>
      <c r="W21" s="40"/>
      <c r="X21" s="40"/>
      <c r="Z21" s="48"/>
      <c r="AA21" s="48"/>
      <c r="AB21" s="48"/>
      <c r="AC21" s="48"/>
      <c r="AD21" s="48"/>
      <c r="AE21" s="46"/>
      <c r="AF21" s="48"/>
      <c r="AG21" s="159"/>
      <c r="AH21" s="48"/>
      <c r="AI21" s="48"/>
      <c r="AJ21" s="48"/>
    </row>
    <row r="22" spans="1:36" x14ac:dyDescent="0.3">
      <c r="A22" s="131" t="s">
        <v>105</v>
      </c>
      <c r="B22" s="70">
        <v>195942</v>
      </c>
      <c r="C22" s="2">
        <v>32</v>
      </c>
      <c r="D22" s="2">
        <v>3</v>
      </c>
      <c r="E22" s="70">
        <f>SUM(B22+C22-D22)</f>
        <v>195971</v>
      </c>
      <c r="G22" s="131" t="s">
        <v>105</v>
      </c>
      <c r="H22" s="70">
        <v>196027</v>
      </c>
      <c r="I22" s="2">
        <v>78</v>
      </c>
      <c r="J22" s="2">
        <v>173</v>
      </c>
      <c r="K22" s="70">
        <v>195942</v>
      </c>
      <c r="M22" s="38" t="s">
        <v>105</v>
      </c>
      <c r="N22" s="132">
        <v>195990</v>
      </c>
      <c r="O22" s="2">
        <v>162</v>
      </c>
      <c r="P22" s="121">
        <v>95</v>
      </c>
      <c r="Q22" s="102">
        <v>196027</v>
      </c>
      <c r="R22" s="133"/>
      <c r="T22" s="41"/>
      <c r="U22" s="137"/>
      <c r="X22" s="160"/>
      <c r="Z22" s="48"/>
      <c r="AA22" s="137"/>
      <c r="AB22" s="161"/>
      <c r="AC22" s="161"/>
      <c r="AD22" s="137"/>
      <c r="AE22" s="46"/>
      <c r="AF22" s="48"/>
      <c r="AG22" s="137"/>
      <c r="AH22" s="161"/>
      <c r="AI22" s="161"/>
      <c r="AJ22" s="137"/>
    </row>
    <row r="23" spans="1:36" x14ac:dyDescent="0.3">
      <c r="A23" s="131" t="s">
        <v>106</v>
      </c>
      <c r="B23" s="70">
        <v>108611</v>
      </c>
      <c r="C23" s="2">
        <v>0</v>
      </c>
      <c r="D23" s="70">
        <v>0</v>
      </c>
      <c r="E23" s="70">
        <f t="shared" ref="E23:E30" si="1">SUM(B23+C23-D23)</f>
        <v>108611</v>
      </c>
      <c r="G23" s="131" t="s">
        <v>106</v>
      </c>
      <c r="H23" s="70">
        <v>110016</v>
      </c>
      <c r="I23" s="2">
        <v>1</v>
      </c>
      <c r="J23" s="70">
        <v>1416</v>
      </c>
      <c r="K23" s="70">
        <v>108611</v>
      </c>
      <c r="M23" s="38" t="s">
        <v>106</v>
      </c>
      <c r="N23" s="132">
        <v>110008</v>
      </c>
      <c r="O23" s="2">
        <v>8</v>
      </c>
      <c r="P23" s="121"/>
      <c r="Q23" s="102">
        <v>110016</v>
      </c>
      <c r="R23" s="133"/>
      <c r="T23" s="41"/>
      <c r="U23" s="137"/>
      <c r="X23" s="160"/>
      <c r="Z23" s="48"/>
      <c r="AA23" s="137"/>
      <c r="AB23" s="137"/>
      <c r="AC23" s="137"/>
      <c r="AD23" s="137"/>
      <c r="AE23" s="46"/>
      <c r="AF23" s="48"/>
      <c r="AG23" s="137"/>
      <c r="AH23" s="137"/>
      <c r="AI23" s="137"/>
      <c r="AJ23" s="137"/>
    </row>
    <row r="24" spans="1:36" ht="28" x14ac:dyDescent="0.3">
      <c r="A24" s="131" t="s">
        <v>114</v>
      </c>
      <c r="B24" s="2">
        <v>223</v>
      </c>
      <c r="C24" s="2">
        <v>0</v>
      </c>
      <c r="D24" s="2">
        <v>0</v>
      </c>
      <c r="E24" s="70">
        <f t="shared" si="1"/>
        <v>223</v>
      </c>
      <c r="G24" s="131" t="s">
        <v>114</v>
      </c>
      <c r="H24" s="2">
        <v>223</v>
      </c>
      <c r="I24" s="2">
        <v>0</v>
      </c>
      <c r="J24" s="2">
        <v>0</v>
      </c>
      <c r="K24" s="2">
        <v>223</v>
      </c>
      <c r="M24" s="134" t="s">
        <v>114</v>
      </c>
      <c r="N24" s="132">
        <v>223</v>
      </c>
      <c r="O24" s="2">
        <v>0</v>
      </c>
      <c r="P24" s="121"/>
      <c r="Q24" s="102">
        <v>223</v>
      </c>
      <c r="R24" s="133"/>
      <c r="T24" s="40"/>
      <c r="X24" s="160"/>
      <c r="Z24" s="48"/>
      <c r="AA24" s="137"/>
      <c r="AD24" s="137"/>
      <c r="AE24" s="46"/>
      <c r="AF24" s="48"/>
      <c r="AG24" s="137"/>
      <c r="AJ24" s="137"/>
    </row>
    <row r="25" spans="1:36" x14ac:dyDescent="0.3">
      <c r="A25" s="131" t="s">
        <v>107</v>
      </c>
      <c r="B25" s="70">
        <v>1464</v>
      </c>
      <c r="C25" s="2">
        <v>0</v>
      </c>
      <c r="D25" s="2">
        <v>0</v>
      </c>
      <c r="E25" s="70">
        <f t="shared" si="1"/>
        <v>1464</v>
      </c>
      <c r="G25" s="131" t="s">
        <v>107</v>
      </c>
      <c r="H25" s="2">
        <v>1464</v>
      </c>
      <c r="I25" s="2">
        <v>0</v>
      </c>
      <c r="J25" s="2">
        <v>0</v>
      </c>
      <c r="K25" s="70">
        <v>1464</v>
      </c>
      <c r="M25" s="38" t="s">
        <v>107</v>
      </c>
      <c r="N25" s="102">
        <v>1464</v>
      </c>
      <c r="O25" s="135">
        <v>0</v>
      </c>
      <c r="P25" s="121"/>
      <c r="Q25" s="102">
        <v>1464</v>
      </c>
      <c r="R25" s="133"/>
      <c r="T25" s="41"/>
      <c r="U25" s="137"/>
      <c r="X25" s="160"/>
      <c r="Z25" s="48"/>
      <c r="AA25" s="137"/>
      <c r="AD25" s="137"/>
      <c r="AE25" s="46"/>
      <c r="AF25" s="48"/>
      <c r="AG25" s="137"/>
      <c r="AJ25" s="137"/>
    </row>
    <row r="26" spans="1:36" x14ac:dyDescent="0.3">
      <c r="A26" s="131" t="s">
        <v>108</v>
      </c>
      <c r="B26" s="70">
        <v>1675</v>
      </c>
      <c r="C26" s="2">
        <v>1</v>
      </c>
      <c r="D26" s="2">
        <v>0</v>
      </c>
      <c r="E26" s="70">
        <f t="shared" si="1"/>
        <v>1676</v>
      </c>
      <c r="G26" s="131" t="s">
        <v>108</v>
      </c>
      <c r="H26" s="2">
        <v>1586</v>
      </c>
      <c r="I26" s="2">
        <v>4</v>
      </c>
      <c r="J26" s="2">
        <v>0</v>
      </c>
      <c r="K26" s="70">
        <v>1675</v>
      </c>
      <c r="M26" s="38" t="s">
        <v>108</v>
      </c>
      <c r="N26" s="102">
        <v>1577</v>
      </c>
      <c r="O26" s="135">
        <v>9</v>
      </c>
      <c r="P26" s="121"/>
      <c r="Q26" s="102">
        <v>1586</v>
      </c>
      <c r="R26" s="133"/>
      <c r="T26" s="41"/>
      <c r="U26" s="137"/>
      <c r="X26" s="160"/>
      <c r="Z26" s="48"/>
      <c r="AA26" s="137"/>
      <c r="AC26" s="57"/>
      <c r="AD26" s="137"/>
      <c r="AE26" s="46"/>
      <c r="AF26" s="48"/>
      <c r="AG26" s="137"/>
      <c r="AI26" s="57"/>
      <c r="AJ26" s="137"/>
    </row>
    <row r="27" spans="1:36" x14ac:dyDescent="0.3">
      <c r="A27" s="131" t="s">
        <v>109</v>
      </c>
      <c r="B27" s="2">
        <v>0</v>
      </c>
      <c r="C27" s="2">
        <v>0</v>
      </c>
      <c r="D27" s="2">
        <v>0</v>
      </c>
      <c r="E27" s="70">
        <f t="shared" si="1"/>
        <v>0</v>
      </c>
      <c r="G27" s="131" t="s">
        <v>109</v>
      </c>
      <c r="H27" s="2">
        <v>86</v>
      </c>
      <c r="I27" s="2">
        <v>0</v>
      </c>
      <c r="J27" s="2">
        <v>0</v>
      </c>
      <c r="K27" s="2">
        <v>0</v>
      </c>
      <c r="M27" s="38" t="s">
        <v>109</v>
      </c>
      <c r="N27" s="102">
        <v>86</v>
      </c>
      <c r="O27" s="135">
        <v>0</v>
      </c>
      <c r="P27" s="121"/>
      <c r="Q27" s="102">
        <v>86</v>
      </c>
      <c r="R27" s="133"/>
      <c r="T27" s="41"/>
      <c r="X27" s="160"/>
      <c r="Z27" s="48"/>
      <c r="AA27" s="137"/>
      <c r="AD27" s="137"/>
      <c r="AE27" s="46"/>
      <c r="AF27" s="48"/>
      <c r="AG27" s="137"/>
      <c r="AJ27" s="137"/>
    </row>
    <row r="28" spans="1:36" x14ac:dyDescent="0.3">
      <c r="A28" s="131" t="s">
        <v>110</v>
      </c>
      <c r="B28" s="2">
        <v>30</v>
      </c>
      <c r="C28" s="2">
        <v>0</v>
      </c>
      <c r="D28" s="2">
        <v>0</v>
      </c>
      <c r="E28" s="70">
        <f t="shared" si="1"/>
        <v>30</v>
      </c>
      <c r="G28" s="131" t="s">
        <v>110</v>
      </c>
      <c r="H28" s="2">
        <v>30</v>
      </c>
      <c r="I28" s="2">
        <v>0</v>
      </c>
      <c r="J28" s="2">
        <v>0</v>
      </c>
      <c r="K28" s="2">
        <v>30</v>
      </c>
      <c r="M28" s="38" t="s">
        <v>110</v>
      </c>
      <c r="N28" s="102">
        <v>30</v>
      </c>
      <c r="O28" s="135">
        <v>0</v>
      </c>
      <c r="P28" s="121"/>
      <c r="Q28" s="102">
        <v>30</v>
      </c>
      <c r="R28" s="133"/>
      <c r="T28" s="41"/>
      <c r="X28" s="160"/>
      <c r="Z28" s="48"/>
      <c r="AA28" s="137"/>
      <c r="AD28" s="137"/>
      <c r="AE28" s="46"/>
      <c r="AF28" s="48"/>
      <c r="AG28" s="137"/>
      <c r="AJ28" s="137"/>
    </row>
    <row r="29" spans="1:36" x14ac:dyDescent="0.3">
      <c r="A29" s="131" t="s">
        <v>111</v>
      </c>
      <c r="B29" s="2">
        <v>498</v>
      </c>
      <c r="C29" s="2">
        <v>1</v>
      </c>
      <c r="D29" s="2">
        <v>0</v>
      </c>
      <c r="E29" s="70">
        <f t="shared" si="1"/>
        <v>499</v>
      </c>
      <c r="G29" s="131" t="s">
        <v>111</v>
      </c>
      <c r="H29" s="2">
        <v>469</v>
      </c>
      <c r="I29" s="2">
        <v>2</v>
      </c>
      <c r="J29" s="2">
        <v>0</v>
      </c>
      <c r="K29" s="2">
        <v>498</v>
      </c>
      <c r="M29" s="38" t="s">
        <v>111</v>
      </c>
      <c r="N29" s="102">
        <v>467</v>
      </c>
      <c r="O29" s="135">
        <v>2</v>
      </c>
      <c r="P29" s="121"/>
      <c r="Q29" s="102">
        <v>469</v>
      </c>
      <c r="R29" s="133"/>
      <c r="T29" s="41"/>
      <c r="X29" s="160"/>
      <c r="Z29" s="48"/>
      <c r="AA29" s="137"/>
      <c r="AD29" s="137"/>
      <c r="AE29" s="46"/>
      <c r="AF29" s="48"/>
      <c r="AG29" s="137"/>
      <c r="AJ29" s="137"/>
    </row>
    <row r="30" spans="1:36" x14ac:dyDescent="0.3">
      <c r="A30" s="131" t="s">
        <v>96</v>
      </c>
      <c r="B30" s="70">
        <f>SUM(B22:B29)</f>
        <v>308443</v>
      </c>
      <c r="C30" s="136">
        <f>SUM(C22:C29)</f>
        <v>34</v>
      </c>
      <c r="D30" s="70">
        <f>SUM(D22:D29)</f>
        <v>3</v>
      </c>
      <c r="E30" s="70">
        <f t="shared" si="1"/>
        <v>308474</v>
      </c>
      <c r="F30" s="137"/>
      <c r="G30" s="131" t="s">
        <v>96</v>
      </c>
      <c r="H30" s="70">
        <f>SUM(H22:H29)</f>
        <v>309901</v>
      </c>
      <c r="I30" s="136">
        <v>85</v>
      </c>
      <c r="J30" s="70">
        <v>1589</v>
      </c>
      <c r="K30" s="70">
        <f>SUM(K22:K29)</f>
        <v>308443</v>
      </c>
      <c r="L30" s="137"/>
      <c r="M30" s="38" t="s">
        <v>96</v>
      </c>
      <c r="N30" s="138">
        <f>SUM(N22:N29)</f>
        <v>309845</v>
      </c>
      <c r="O30" s="139">
        <f>SUM(O22:O29)</f>
        <v>181</v>
      </c>
      <c r="P30" s="70">
        <f>SUM(P22:P29)</f>
        <v>95</v>
      </c>
      <c r="Q30" s="70">
        <f>SUM(Q22:Q29)</f>
        <v>309901</v>
      </c>
      <c r="R30" s="137"/>
      <c r="T30" s="41"/>
      <c r="U30" s="137"/>
      <c r="X30" s="160"/>
      <c r="Z30" s="48"/>
      <c r="AA30" s="137"/>
      <c r="AB30" s="137"/>
      <c r="AC30" s="137"/>
      <c r="AD30" s="137"/>
      <c r="AE30" s="46"/>
      <c r="AF30" s="48"/>
      <c r="AG30" s="137"/>
      <c r="AH30" s="137"/>
      <c r="AI30" s="137"/>
      <c r="AJ30" s="137"/>
    </row>
    <row r="33" spans="1:29" x14ac:dyDescent="0.3">
      <c r="A33" s="11" t="s">
        <v>115</v>
      </c>
      <c r="G33" s="162"/>
    </row>
    <row r="34" spans="1:29" x14ac:dyDescent="0.3">
      <c r="A34" s="52"/>
      <c r="B34" s="163">
        <v>40724</v>
      </c>
      <c r="C34" s="163">
        <v>41090</v>
      </c>
      <c r="D34" s="163">
        <v>41455</v>
      </c>
      <c r="E34" s="163">
        <v>41820</v>
      </c>
      <c r="F34" s="164">
        <v>42185</v>
      </c>
      <c r="G34" s="164">
        <v>42551</v>
      </c>
      <c r="H34" s="164">
        <v>42916</v>
      </c>
      <c r="I34" s="164">
        <v>43281</v>
      </c>
      <c r="J34" s="164">
        <v>43616</v>
      </c>
      <c r="K34" s="164">
        <v>44042</v>
      </c>
      <c r="L34" s="165">
        <v>44390</v>
      </c>
      <c r="M34" s="165">
        <v>44783</v>
      </c>
      <c r="N34" s="165">
        <v>45175</v>
      </c>
    </row>
    <row r="35" spans="1:29" ht="32.5" customHeight="1" x14ac:dyDescent="0.3">
      <c r="A35" s="52" t="s">
        <v>116</v>
      </c>
      <c r="B35" s="70">
        <v>8904</v>
      </c>
      <c r="C35" s="70">
        <v>10080</v>
      </c>
      <c r="D35" s="70">
        <v>10134</v>
      </c>
      <c r="E35" s="70">
        <v>10219</v>
      </c>
      <c r="F35" s="70">
        <v>10324</v>
      </c>
      <c r="G35" s="70">
        <v>10001</v>
      </c>
      <c r="H35" s="70">
        <v>10083</v>
      </c>
      <c r="I35" s="70">
        <v>10217</v>
      </c>
      <c r="J35" s="102">
        <v>10304</v>
      </c>
      <c r="K35" s="166">
        <v>10388</v>
      </c>
      <c r="L35" s="167">
        <v>10252</v>
      </c>
      <c r="M35" s="168">
        <v>10283</v>
      </c>
      <c r="N35" s="169">
        <v>10182</v>
      </c>
    </row>
    <row r="36" spans="1:29" ht="27.5" customHeight="1" x14ac:dyDescent="0.3">
      <c r="A36" s="52" t="s">
        <v>117</v>
      </c>
      <c r="B36" s="70">
        <v>2045</v>
      </c>
      <c r="C36" s="70">
        <v>2196</v>
      </c>
      <c r="D36" s="70">
        <v>2205</v>
      </c>
      <c r="E36" s="70">
        <v>2228</v>
      </c>
      <c r="F36" s="155">
        <v>2213</v>
      </c>
      <c r="G36" s="70">
        <v>2183</v>
      </c>
      <c r="H36" s="70">
        <v>2186</v>
      </c>
      <c r="I36" s="155">
        <v>2227</v>
      </c>
      <c r="J36" s="102">
        <v>2221</v>
      </c>
      <c r="K36" s="166">
        <v>2253</v>
      </c>
      <c r="L36" s="70">
        <v>2246</v>
      </c>
      <c r="M36" s="70">
        <v>2244</v>
      </c>
      <c r="N36" s="169">
        <v>2232</v>
      </c>
    </row>
    <row r="37" spans="1:29" x14ac:dyDescent="0.3">
      <c r="A37" s="56" t="s">
        <v>118</v>
      </c>
      <c r="B37" s="170">
        <v>22.97</v>
      </c>
      <c r="C37" s="170">
        <v>21.79</v>
      </c>
      <c r="D37" s="170">
        <v>21.76</v>
      </c>
      <c r="E37" s="170">
        <v>21.8</v>
      </c>
      <c r="F37" s="170">
        <v>21.44</v>
      </c>
      <c r="G37" s="170">
        <v>21.83</v>
      </c>
      <c r="H37" s="170">
        <v>21.68</v>
      </c>
      <c r="I37" s="170">
        <v>21.8</v>
      </c>
      <c r="J37" s="170">
        <v>21.55</v>
      </c>
      <c r="K37" s="170">
        <v>21.69</v>
      </c>
      <c r="L37" s="170">
        <v>21.91</v>
      </c>
      <c r="M37" s="171">
        <v>21.82</v>
      </c>
      <c r="N37" s="172">
        <f>SUM(N36/N35)</f>
        <v>0.21921037124337064</v>
      </c>
    </row>
    <row r="40" spans="1:29" x14ac:dyDescent="0.3">
      <c r="A40" s="41" t="s">
        <v>244</v>
      </c>
      <c r="G40" s="41" t="s">
        <v>216</v>
      </c>
      <c r="M40" s="41" t="s">
        <v>191</v>
      </c>
      <c r="S40" s="41"/>
      <c r="Y40" s="41"/>
    </row>
    <row r="41" spans="1:29" ht="31.75" customHeight="1" x14ac:dyDescent="0.3">
      <c r="A41" s="43"/>
      <c r="B41" s="45" t="s">
        <v>215</v>
      </c>
      <c r="C41" s="42" t="s">
        <v>213</v>
      </c>
      <c r="D41" s="42" t="s">
        <v>214</v>
      </c>
      <c r="E41" s="42" t="s">
        <v>243</v>
      </c>
      <c r="F41" s="79"/>
      <c r="G41" s="129"/>
      <c r="H41" s="45" t="s">
        <v>192</v>
      </c>
      <c r="I41" s="135" t="s">
        <v>213</v>
      </c>
      <c r="J41" s="2" t="s">
        <v>214</v>
      </c>
      <c r="K41" s="45" t="s">
        <v>215</v>
      </c>
      <c r="M41" s="43"/>
      <c r="N41" s="42" t="s">
        <v>171</v>
      </c>
      <c r="O41" s="42" t="s">
        <v>246</v>
      </c>
      <c r="P41" s="42" t="s">
        <v>245</v>
      </c>
      <c r="Q41" s="42" t="s">
        <v>192</v>
      </c>
      <c r="R41" s="79"/>
      <c r="S41" s="44"/>
      <c r="T41" s="79"/>
      <c r="U41" s="79"/>
      <c r="V41" s="79"/>
      <c r="W41" s="79"/>
      <c r="X41" s="79"/>
      <c r="Z41" s="79"/>
      <c r="AA41" s="79"/>
      <c r="AB41" s="79"/>
      <c r="AC41" s="79"/>
    </row>
    <row r="42" spans="1:29" x14ac:dyDescent="0.3">
      <c r="A42" s="2" t="s">
        <v>105</v>
      </c>
      <c r="B42" s="102">
        <v>2042</v>
      </c>
      <c r="C42" s="135">
        <v>16</v>
      </c>
      <c r="D42" s="2">
        <v>0</v>
      </c>
      <c r="E42" s="2">
        <f>SUM(B42:D42)</f>
        <v>2058</v>
      </c>
      <c r="G42" s="129" t="s">
        <v>105</v>
      </c>
      <c r="H42" s="102">
        <v>2126</v>
      </c>
      <c r="I42" s="135">
        <v>1</v>
      </c>
      <c r="J42" s="2">
        <v>85</v>
      </c>
      <c r="K42" s="102">
        <v>2042</v>
      </c>
      <c r="M42" s="2" t="s">
        <v>105</v>
      </c>
      <c r="N42" s="140">
        <v>2178</v>
      </c>
      <c r="O42" s="70">
        <v>16</v>
      </c>
      <c r="P42" s="70">
        <v>76</v>
      </c>
      <c r="Q42" s="140">
        <v>2126</v>
      </c>
      <c r="T42" s="137"/>
      <c r="U42" s="137"/>
      <c r="V42" s="137"/>
      <c r="W42" s="137"/>
      <c r="Z42" s="137"/>
      <c r="AA42" s="137"/>
      <c r="AB42" s="137"/>
      <c r="AC42" s="137"/>
    </row>
    <row r="43" spans="1:29" x14ac:dyDescent="0.3">
      <c r="A43" s="2" t="s">
        <v>107</v>
      </c>
      <c r="B43" s="102">
        <v>93</v>
      </c>
      <c r="C43" s="135">
        <v>0</v>
      </c>
      <c r="D43" s="2">
        <v>0</v>
      </c>
      <c r="E43" s="2">
        <f>SUM(B43:D43)</f>
        <v>93</v>
      </c>
      <c r="G43" s="129" t="s">
        <v>107</v>
      </c>
      <c r="H43" s="102">
        <v>93</v>
      </c>
      <c r="I43" s="135">
        <v>0</v>
      </c>
      <c r="J43" s="2">
        <v>0</v>
      </c>
      <c r="K43" s="102">
        <v>93</v>
      </c>
      <c r="M43" s="2" t="s">
        <v>107</v>
      </c>
      <c r="N43" s="141">
        <v>93</v>
      </c>
      <c r="O43" s="2">
        <v>0</v>
      </c>
      <c r="P43" s="2">
        <v>0</v>
      </c>
      <c r="Q43" s="141">
        <v>93</v>
      </c>
      <c r="T43" s="137"/>
      <c r="U43" s="137"/>
      <c r="V43" s="137"/>
      <c r="W43" s="137"/>
      <c r="Z43" s="137"/>
      <c r="AA43" s="137"/>
      <c r="AB43" s="137"/>
      <c r="AC43" s="137"/>
    </row>
    <row r="44" spans="1:29" x14ac:dyDescent="0.3">
      <c r="A44" s="2" t="s">
        <v>96</v>
      </c>
      <c r="B44" s="142">
        <f>SUM(B42:B43)</f>
        <v>2135</v>
      </c>
      <c r="C44" s="135">
        <f>SUM(C42:C43)</f>
        <v>16</v>
      </c>
      <c r="D44" s="2">
        <f>SUM(D42:D43)</f>
        <v>0</v>
      </c>
      <c r="E44" s="2">
        <f>SUM(E42:E43)</f>
        <v>2151</v>
      </c>
      <c r="G44" s="129" t="s">
        <v>96</v>
      </c>
      <c r="H44" s="102">
        <v>2219</v>
      </c>
      <c r="I44" s="135">
        <v>1</v>
      </c>
      <c r="J44" s="2">
        <v>85</v>
      </c>
      <c r="K44" s="102">
        <f>SUM(K42:K43)</f>
        <v>2135</v>
      </c>
      <c r="M44" s="2" t="s">
        <v>96</v>
      </c>
      <c r="N44" s="70">
        <f>SUM(N42:N43)</f>
        <v>2271</v>
      </c>
      <c r="O44" s="70">
        <f t="shared" ref="O44:Q44" si="2">SUM(O42:O43)</f>
        <v>16</v>
      </c>
      <c r="P44" s="70">
        <f t="shared" si="2"/>
        <v>76</v>
      </c>
      <c r="Q44" s="70">
        <f t="shared" si="2"/>
        <v>2219</v>
      </c>
      <c r="T44" s="137"/>
      <c r="U44" s="137"/>
      <c r="V44" s="137"/>
      <c r="W44" s="137"/>
      <c r="Z44" s="137"/>
      <c r="AA44" s="137"/>
      <c r="AB44" s="137"/>
      <c r="AC44" s="44"/>
    </row>
    <row r="47" spans="1:29" x14ac:dyDescent="0.3">
      <c r="A47" s="14"/>
    </row>
    <row r="48" spans="1:29" x14ac:dyDescent="0.3">
      <c r="A48" s="14"/>
      <c r="B48" s="14"/>
      <c r="C48" s="14"/>
      <c r="D48" s="14"/>
      <c r="E48" s="14"/>
    </row>
    <row r="49" spans="1:5" x14ac:dyDescent="0.3">
      <c r="A49" s="173"/>
    </row>
    <row r="50" spans="1:5" x14ac:dyDescent="0.3">
      <c r="A50" s="14"/>
    </row>
    <row r="51" spans="1:5" x14ac:dyDescent="0.3">
      <c r="A51" s="14"/>
    </row>
    <row r="52" spans="1:5" x14ac:dyDescent="0.3">
      <c r="A52" s="14"/>
    </row>
    <row r="53" spans="1:5" x14ac:dyDescent="0.3">
      <c r="A53" s="14"/>
      <c r="D53" s="174"/>
      <c r="E53" s="174"/>
    </row>
    <row r="54" spans="1:5" x14ac:dyDescent="0.3">
      <c r="A54" s="14"/>
      <c r="D54" s="174"/>
      <c r="E54" s="174"/>
    </row>
  </sheetData>
  <mergeCells count="1">
    <mergeCell ref="A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1F1197A726E640BEDA34750291D5C6" ma:contentTypeVersion="13" ma:contentTypeDescription="Create a new document." ma:contentTypeScope="" ma:versionID="38eebb17da22883e9f7c36078ae212dc">
  <xsd:schema xmlns:xsd="http://www.w3.org/2001/XMLSchema" xmlns:xs="http://www.w3.org/2001/XMLSchema" xmlns:p="http://schemas.microsoft.com/office/2006/metadata/properties" xmlns:ns3="1637785b-b898-4138-9486-45fa52f89d34" xmlns:ns4="8c814e13-b6f4-49f8-9009-5a0b7dfc00b9" targetNamespace="http://schemas.microsoft.com/office/2006/metadata/properties" ma:root="true" ma:fieldsID="44413f1efe0aeb3cdc653540af93e0ca" ns3:_="" ns4:_="">
    <xsd:import namespace="1637785b-b898-4138-9486-45fa52f89d34"/>
    <xsd:import namespace="8c814e13-b6f4-49f8-9009-5a0b7dfc00b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7785b-b898-4138-9486-45fa52f89d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814e13-b6f4-49f8-9009-5a0b7dfc0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EAAA7B-DFA5-46CE-8C02-D2344EFF5F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0C8FA7-ED2E-43B7-9DDF-437F16BDCBDB}">
  <ds:schemaRefs>
    <ds:schemaRef ds:uri="1637785b-b898-4138-9486-45fa52f89d34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8c814e13-b6f4-49f8-9009-5a0b7dfc00b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3E9847C-7C2E-48DC-A978-6C25F22CE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7785b-b898-4138-9486-45fa52f89d34"/>
    <ds:schemaRef ds:uri="8c814e13-b6f4-49f8-9009-5a0b7dfc0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Reference Statistics</vt:lpstr>
      <vt:lpstr>Library Instruction Statistics</vt:lpstr>
      <vt:lpstr>Website Visits</vt:lpstr>
      <vt:lpstr>Library Visits</vt:lpstr>
      <vt:lpstr>Circulation Statistics</vt:lpstr>
      <vt:lpstr>Interlibrary Loan Statistics</vt:lpstr>
      <vt:lpstr>Government Documents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Corbin</dc:creator>
  <cp:lastModifiedBy>Jennifer Corbin</cp:lastModifiedBy>
  <cp:lastPrinted>2016-07-18T19:56:13Z</cp:lastPrinted>
  <dcterms:created xsi:type="dcterms:W3CDTF">2014-07-05T14:32:32Z</dcterms:created>
  <dcterms:modified xsi:type="dcterms:W3CDTF">2023-10-27T21:11:55Z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0x0101002E1F1197A726E640BEDA34750291D5C6</vt:lpwstr>
  </property>
</Properties>
</file>